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095" yWindow="180" windowWidth="19335" windowHeight="11835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3_'!$A$7:$Y$746</definedName>
    <definedName name="_xlnm.Print_Area" localSheetId="0">'Таблица № 3'!$A$1:$S$120</definedName>
    <definedName name="_xlnm.Print_Area" localSheetId="1">'Таблица № 3_'!$A$1:$Z$750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64" i="6" l="1"/>
  <c r="M394" i="6" l="1"/>
  <c r="M704" i="6" l="1"/>
  <c r="M702" i="6" l="1"/>
  <c r="M644" i="6" l="1"/>
  <c r="M745" i="6" l="1"/>
  <c r="M404" i="6" l="1"/>
  <c r="M13" i="6" l="1"/>
  <c r="M16" i="6"/>
  <c r="M26" i="6"/>
  <c r="N26" i="6"/>
  <c r="O26" i="6"/>
  <c r="M23" i="6"/>
  <c r="N33" i="6"/>
  <c r="O33" i="6"/>
  <c r="M33" i="6"/>
  <c r="D36" i="6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M609" i="6" l="1"/>
  <c r="M203" i="6" l="1"/>
  <c r="M201" i="6"/>
  <c r="E583" i="6" l="1"/>
  <c r="F583" i="6"/>
  <c r="G583" i="6"/>
  <c r="H583" i="6"/>
  <c r="I583" i="6"/>
  <c r="J583" i="6"/>
  <c r="K583" i="6"/>
  <c r="L583" i="6"/>
  <c r="N583" i="6"/>
  <c r="O583" i="6"/>
  <c r="M583" i="6"/>
  <c r="E580" i="6"/>
  <c r="F580" i="6"/>
  <c r="D580" i="6" s="1"/>
  <c r="G580" i="6"/>
  <c r="H580" i="6"/>
  <c r="I580" i="6"/>
  <c r="J580" i="6"/>
  <c r="K580" i="6"/>
  <c r="L580" i="6"/>
  <c r="N580" i="6"/>
  <c r="O580" i="6"/>
  <c r="M580" i="6"/>
  <c r="D698" i="6"/>
  <c r="D696" i="6"/>
  <c r="D705" i="6"/>
  <c r="D703" i="6"/>
  <c r="D583" i="6" l="1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N16" i="6"/>
  <c r="O16" i="6"/>
  <c r="L26" i="6"/>
  <c r="L16" i="6" s="1"/>
  <c r="G16" i="6"/>
  <c r="K16" i="6"/>
  <c r="P16" i="6"/>
  <c r="Q16" i="6"/>
  <c r="R16" i="6"/>
  <c r="S16" i="6"/>
  <c r="T16" i="6"/>
  <c r="U16" i="6"/>
  <c r="V16" i="6"/>
  <c r="D504" i="6"/>
  <c r="D26" i="6" s="1"/>
  <c r="D502" i="6"/>
  <c r="D516" i="6"/>
  <c r="D514" i="6"/>
  <c r="D16" i="6" l="1"/>
  <c r="O388" i="6"/>
  <c r="N388" i="6"/>
  <c r="M388" i="6"/>
  <c r="M457" i="6"/>
  <c r="M439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30" i="6" l="1"/>
  <c r="D440" i="6" l="1"/>
  <c r="M436" i="6"/>
  <c r="K439" i="6"/>
  <c r="D439" i="6" s="1"/>
  <c r="D438" i="6"/>
  <c r="D437" i="6"/>
  <c r="O436" i="6"/>
  <c r="N436" i="6"/>
  <c r="L436" i="6"/>
  <c r="J436" i="6"/>
  <c r="I436" i="6"/>
  <c r="H436" i="6"/>
  <c r="G436" i="6"/>
  <c r="F436" i="6"/>
  <c r="E436" i="6"/>
  <c r="K436" i="6" l="1"/>
  <c r="D436" i="6" s="1"/>
  <c r="M209" i="6" l="1"/>
  <c r="M349" i="6" l="1"/>
  <c r="M348" i="6" l="1"/>
  <c r="O404" i="6" l="1"/>
  <c r="O203" i="6"/>
  <c r="N203" i="6" l="1"/>
  <c r="M681" i="6" l="1"/>
  <c r="L364" i="6" l="1"/>
  <c r="L671" i="6" l="1"/>
  <c r="L634" i="6"/>
  <c r="L619" i="6"/>
  <c r="L565" i="6"/>
  <c r="L404" i="6" l="1"/>
  <c r="L388" i="6"/>
  <c r="L203" i="6"/>
  <c r="L745" i="6" l="1"/>
  <c r="L725" i="6"/>
  <c r="L201" i="6" l="1"/>
  <c r="L559" i="6" l="1"/>
  <c r="L65" i="6"/>
  <c r="L509" i="6"/>
  <c r="L314" i="6"/>
  <c r="L477" i="6" l="1"/>
  <c r="L650" i="6"/>
  <c r="L644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04" i="6" l="1"/>
  <c r="L691" i="6" l="1"/>
  <c r="O634" i="6" l="1"/>
  <c r="N634" i="6"/>
  <c r="M634" i="6"/>
  <c r="L681" i="6" l="1"/>
  <c r="L609" i="6"/>
  <c r="L414" i="6" l="1"/>
  <c r="N201" i="6" l="1"/>
  <c r="O349" i="6" l="1"/>
  <c r="O348" i="6"/>
  <c r="N349" i="6"/>
  <c r="N348" i="6"/>
  <c r="O609" i="6" l="1"/>
  <c r="N559" i="6" l="1"/>
  <c r="O745" i="6"/>
  <c r="N745" i="6"/>
  <c r="M725" i="6"/>
  <c r="O681" i="6"/>
  <c r="N681" i="6"/>
  <c r="O671" i="6"/>
  <c r="N671" i="6"/>
  <c r="M671" i="6"/>
  <c r="O650" i="6"/>
  <c r="N650" i="6"/>
  <c r="M650" i="6"/>
  <c r="O644" i="6"/>
  <c r="N644" i="6"/>
  <c r="O619" i="6"/>
  <c r="N619" i="6"/>
  <c r="M619" i="6"/>
  <c r="N609" i="6"/>
  <c r="M588" i="6" l="1"/>
  <c r="O565" i="6"/>
  <c r="N565" i="6"/>
  <c r="M565" i="6"/>
  <c r="O536" i="6"/>
  <c r="N536" i="6"/>
  <c r="M536" i="6"/>
  <c r="O457" i="6"/>
  <c r="N457" i="6"/>
  <c r="O450" i="6"/>
  <c r="N450" i="6"/>
  <c r="M450" i="6"/>
  <c r="N434" i="6"/>
  <c r="M434" i="6"/>
  <c r="O414" i="6"/>
  <c r="O399" i="6" s="1"/>
  <c r="N414" i="6"/>
  <c r="M414" i="6"/>
  <c r="N404" i="6"/>
  <c r="O381" i="6"/>
  <c r="O346" i="6"/>
  <c r="N399" i="6" l="1"/>
  <c r="M399" i="6"/>
  <c r="L676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57" i="6" l="1"/>
  <c r="L450" i="6"/>
  <c r="O187" i="6" l="1"/>
  <c r="L730" i="6" l="1"/>
  <c r="D478" i="6" l="1"/>
  <c r="D477" i="6"/>
  <c r="D476" i="6"/>
  <c r="D475" i="6"/>
  <c r="O474" i="6"/>
  <c r="N474" i="6"/>
  <c r="M474" i="6"/>
  <c r="L474" i="6"/>
  <c r="K474" i="6"/>
  <c r="J474" i="6"/>
  <c r="I474" i="6"/>
  <c r="H474" i="6"/>
  <c r="G474" i="6"/>
  <c r="F474" i="6"/>
  <c r="E474" i="6"/>
  <c r="E469" i="6"/>
  <c r="F469" i="6"/>
  <c r="G469" i="6"/>
  <c r="H469" i="6"/>
  <c r="I469" i="6"/>
  <c r="J469" i="6"/>
  <c r="K469" i="6"/>
  <c r="L469" i="6"/>
  <c r="M469" i="6"/>
  <c r="N469" i="6"/>
  <c r="O469" i="6"/>
  <c r="D470" i="6"/>
  <c r="D471" i="6"/>
  <c r="D472" i="6"/>
  <c r="D473" i="6"/>
  <c r="D469" i="6" l="1"/>
  <c r="D474" i="6"/>
  <c r="L666" i="6" l="1"/>
  <c r="D692" i="6" l="1"/>
  <c r="D691" i="6"/>
  <c r="D690" i="6"/>
  <c r="D689" i="6"/>
  <c r="O688" i="6"/>
  <c r="N688" i="6"/>
  <c r="M688" i="6"/>
  <c r="L688" i="6"/>
  <c r="K688" i="6"/>
  <c r="J688" i="6"/>
  <c r="I688" i="6"/>
  <c r="H688" i="6"/>
  <c r="G688" i="6"/>
  <c r="F688" i="6"/>
  <c r="E688" i="6"/>
  <c r="L588" i="6"/>
  <c r="D688" i="6" l="1"/>
  <c r="L536" i="6"/>
  <c r="L462" i="6" l="1"/>
  <c r="L444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O31" i="6" l="1"/>
  <c r="L376" i="6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492" i="6"/>
  <c r="L284" i="6" l="1"/>
  <c r="M720" i="6" l="1"/>
  <c r="N720" i="6"/>
  <c r="O720" i="6"/>
  <c r="P720" i="6"/>
  <c r="Q720" i="6"/>
  <c r="R720" i="6"/>
  <c r="S720" i="6"/>
  <c r="L720" i="6"/>
  <c r="I731" i="6"/>
  <c r="H731" i="6"/>
  <c r="G731" i="6"/>
  <c r="F731" i="6"/>
  <c r="E731" i="6"/>
  <c r="D730" i="6"/>
  <c r="D729" i="6"/>
  <c r="O728" i="6"/>
  <c r="N728" i="6"/>
  <c r="N727" i="6" s="1"/>
  <c r="M728" i="6"/>
  <c r="L728" i="6"/>
  <c r="K728" i="6"/>
  <c r="K727" i="6" s="1"/>
  <c r="I728" i="6"/>
  <c r="I727" i="6" s="1"/>
  <c r="H728" i="6"/>
  <c r="H727" i="6" s="1"/>
  <c r="G728" i="6"/>
  <c r="F728" i="6"/>
  <c r="F727" i="6" s="1"/>
  <c r="E728" i="6"/>
  <c r="E727" i="6" s="1"/>
  <c r="M727" i="6"/>
  <c r="J727" i="6"/>
  <c r="D728" i="6" l="1"/>
  <c r="L727" i="6"/>
  <c r="D731" i="6"/>
  <c r="G727" i="6"/>
  <c r="D727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09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588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697" i="6" l="1"/>
  <c r="N697" i="6"/>
  <c r="O697" i="6"/>
  <c r="M695" i="6"/>
  <c r="N695" i="6"/>
  <c r="O695" i="6"/>
  <c r="L697" i="6"/>
  <c r="L695" i="6"/>
  <c r="K289" i="6" l="1"/>
  <c r="K269" i="6"/>
  <c r="K266" i="6" s="1"/>
  <c r="K559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50" i="6"/>
  <c r="K619" i="6" l="1"/>
  <c r="K644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25" i="6" l="1"/>
  <c r="K720" i="6" s="1"/>
  <c r="K681" i="6"/>
  <c r="K671" i="6"/>
  <c r="K634" i="6"/>
  <c r="K497" i="6"/>
  <c r="K450" i="6"/>
  <c r="K414" i="6"/>
  <c r="K324" i="6"/>
  <c r="K319" i="6"/>
  <c r="K214" i="6"/>
  <c r="K209" i="6"/>
  <c r="K515" i="6" l="1"/>
  <c r="K404" i="6" l="1"/>
  <c r="K457" i="6" l="1"/>
  <c r="K41" i="6"/>
  <c r="K229" i="6" l="1"/>
  <c r="K661" i="6" l="1"/>
  <c r="L434" i="6"/>
  <c r="K47" i="6"/>
  <c r="K565" i="6" l="1"/>
  <c r="K536" i="6"/>
  <c r="K299" i="6" l="1"/>
  <c r="K434" i="6" l="1"/>
  <c r="O588" i="6" l="1"/>
  <c r="O581" i="6" s="1"/>
  <c r="N581" i="6"/>
  <c r="M581" i="6"/>
  <c r="L581" i="6"/>
  <c r="L553" i="6"/>
  <c r="M553" i="6"/>
  <c r="N553" i="6"/>
  <c r="O553" i="6"/>
  <c r="L526" i="6"/>
  <c r="L521" i="6" s="1"/>
  <c r="M526" i="6"/>
  <c r="M521" i="6" s="1"/>
  <c r="N526" i="6"/>
  <c r="N521" i="6" s="1"/>
  <c r="O526" i="6"/>
  <c r="O521" i="6" s="1"/>
  <c r="M444" i="6"/>
  <c r="N444" i="6"/>
  <c r="L399" i="6"/>
  <c r="K599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482" i="6"/>
  <c r="D498" i="6"/>
  <c r="D497" i="6"/>
  <c r="D496" i="6"/>
  <c r="D495" i="6"/>
  <c r="O494" i="6"/>
  <c r="N494" i="6"/>
  <c r="M494" i="6"/>
  <c r="L494" i="6"/>
  <c r="K494" i="6"/>
  <c r="J494" i="6"/>
  <c r="I494" i="6"/>
  <c r="H494" i="6"/>
  <c r="G494" i="6"/>
  <c r="F494" i="6"/>
  <c r="E494" i="6"/>
  <c r="D494" i="6" l="1"/>
  <c r="K256" i="6"/>
  <c r="D687" i="6" l="1"/>
  <c r="D686" i="6"/>
  <c r="D685" i="6"/>
  <c r="D684" i="6"/>
  <c r="O683" i="6"/>
  <c r="N683" i="6"/>
  <c r="M683" i="6"/>
  <c r="L683" i="6"/>
  <c r="K683" i="6"/>
  <c r="J683" i="6"/>
  <c r="I683" i="6"/>
  <c r="H683" i="6"/>
  <c r="G683" i="6"/>
  <c r="F683" i="6"/>
  <c r="E683" i="6"/>
  <c r="D683" i="6" l="1"/>
  <c r="J720" i="6"/>
  <c r="J717" i="6" s="1"/>
  <c r="O723" i="6"/>
  <c r="N723" i="6"/>
  <c r="N722" i="6" s="1"/>
  <c r="M723" i="6"/>
  <c r="L723" i="6"/>
  <c r="L722" i="6" s="1"/>
  <c r="K723" i="6"/>
  <c r="K722" i="6" s="1"/>
  <c r="O718" i="6"/>
  <c r="O717" i="6" s="1"/>
  <c r="N718" i="6"/>
  <c r="N717" i="6" s="1"/>
  <c r="M718" i="6"/>
  <c r="M717" i="6" s="1"/>
  <c r="L718" i="6"/>
  <c r="L717" i="6" s="1"/>
  <c r="K718" i="6"/>
  <c r="I726" i="6"/>
  <c r="H726" i="6"/>
  <c r="G726" i="6"/>
  <c r="F726" i="6"/>
  <c r="E726" i="6"/>
  <c r="I723" i="6"/>
  <c r="H723" i="6"/>
  <c r="G723" i="6"/>
  <c r="F723" i="6"/>
  <c r="E723" i="6"/>
  <c r="I721" i="6"/>
  <c r="H721" i="6"/>
  <c r="G721" i="6"/>
  <c r="F721" i="6"/>
  <c r="E721" i="6"/>
  <c r="I718" i="6"/>
  <c r="H718" i="6"/>
  <c r="G718" i="6"/>
  <c r="F718" i="6"/>
  <c r="E718" i="6"/>
  <c r="D725" i="6"/>
  <c r="D724" i="6"/>
  <c r="M722" i="6"/>
  <c r="J722" i="6"/>
  <c r="D719" i="6"/>
  <c r="D682" i="6"/>
  <c r="D681" i="6"/>
  <c r="D680" i="6"/>
  <c r="D679" i="6"/>
  <c r="O678" i="6"/>
  <c r="N678" i="6"/>
  <c r="M678" i="6"/>
  <c r="L678" i="6"/>
  <c r="K678" i="6"/>
  <c r="J678" i="6"/>
  <c r="I678" i="6"/>
  <c r="H678" i="6"/>
  <c r="G678" i="6"/>
  <c r="F678" i="6"/>
  <c r="E678" i="6"/>
  <c r="D675" i="6"/>
  <c r="D677" i="6"/>
  <c r="D676" i="6"/>
  <c r="D674" i="6"/>
  <c r="O673" i="6"/>
  <c r="N673" i="6"/>
  <c r="M673" i="6"/>
  <c r="L673" i="6"/>
  <c r="K673" i="6"/>
  <c r="J673" i="6"/>
  <c r="I673" i="6"/>
  <c r="H673" i="6"/>
  <c r="G673" i="6"/>
  <c r="F673" i="6"/>
  <c r="E673" i="6"/>
  <c r="I717" i="6" l="1"/>
  <c r="G722" i="6"/>
  <c r="E717" i="6"/>
  <c r="G717" i="6"/>
  <c r="F717" i="6"/>
  <c r="H717" i="6"/>
  <c r="D723" i="6"/>
  <c r="I722" i="6"/>
  <c r="D678" i="6"/>
  <c r="D721" i="6"/>
  <c r="D718" i="6"/>
  <c r="E722" i="6"/>
  <c r="F722" i="6"/>
  <c r="H722" i="6"/>
  <c r="D726" i="6"/>
  <c r="D722" i="6" s="1"/>
  <c r="D720" i="6"/>
  <c r="K717" i="6"/>
  <c r="D673" i="6"/>
  <c r="D717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44" i="6" l="1"/>
  <c r="K187" i="6" l="1"/>
  <c r="K34" i="6" s="1"/>
  <c r="O668" i="6" l="1"/>
  <c r="N668" i="6"/>
  <c r="M668" i="6"/>
  <c r="L668" i="6"/>
  <c r="K668" i="6"/>
  <c r="J668" i="6"/>
  <c r="I668" i="6"/>
  <c r="H668" i="6"/>
  <c r="G668" i="6"/>
  <c r="F668" i="6"/>
  <c r="E668" i="6"/>
  <c r="D672" i="6"/>
  <c r="D671" i="6"/>
  <c r="D670" i="6"/>
  <c r="D669" i="6"/>
  <c r="K745" i="6"/>
  <c r="K609" i="6"/>
  <c r="K399" i="6"/>
  <c r="D432" i="6"/>
  <c r="D433" i="6"/>
  <c r="D434" i="6"/>
  <c r="D435" i="6"/>
  <c r="F431" i="6"/>
  <c r="G431" i="6"/>
  <c r="H431" i="6"/>
  <c r="I431" i="6"/>
  <c r="J431" i="6"/>
  <c r="K431" i="6"/>
  <c r="L431" i="6"/>
  <c r="M431" i="6"/>
  <c r="N431" i="6"/>
  <c r="O431" i="6"/>
  <c r="E431" i="6"/>
  <c r="D668" i="6" l="1"/>
  <c r="D431" i="6"/>
  <c r="O663" i="6"/>
  <c r="N663" i="6"/>
  <c r="M663" i="6"/>
  <c r="L663" i="6"/>
  <c r="K663" i="6"/>
  <c r="J663" i="6"/>
  <c r="I663" i="6"/>
  <c r="H663" i="6"/>
  <c r="G663" i="6"/>
  <c r="F663" i="6"/>
  <c r="E663" i="6"/>
  <c r="D667" i="6"/>
  <c r="D666" i="6"/>
  <c r="D665" i="6"/>
  <c r="D664" i="6"/>
  <c r="D663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588" i="6" l="1"/>
  <c r="K511" i="6" l="1"/>
  <c r="E480" i="6" l="1"/>
  <c r="F480" i="6"/>
  <c r="G480" i="6"/>
  <c r="H480" i="6"/>
  <c r="I480" i="6"/>
  <c r="J480" i="6"/>
  <c r="F483" i="6" l="1"/>
  <c r="G483" i="6"/>
  <c r="H483" i="6"/>
  <c r="I483" i="6"/>
  <c r="J483" i="6"/>
  <c r="K483" i="6"/>
  <c r="L483" i="6"/>
  <c r="M483" i="6"/>
  <c r="N483" i="6"/>
  <c r="O483" i="6"/>
  <c r="E483" i="6"/>
  <c r="F482" i="6"/>
  <c r="G482" i="6"/>
  <c r="H482" i="6"/>
  <c r="I482" i="6"/>
  <c r="L482" i="6"/>
  <c r="M482" i="6"/>
  <c r="N482" i="6"/>
  <c r="O482" i="6"/>
  <c r="E482" i="6"/>
  <c r="F481" i="6"/>
  <c r="G481" i="6"/>
  <c r="H481" i="6"/>
  <c r="I481" i="6"/>
  <c r="J481" i="6"/>
  <c r="K481" i="6"/>
  <c r="L481" i="6"/>
  <c r="M481" i="6"/>
  <c r="N481" i="6"/>
  <c r="O481" i="6"/>
  <c r="E481" i="6"/>
  <c r="K480" i="6"/>
  <c r="L480" i="6"/>
  <c r="M480" i="6"/>
  <c r="N480" i="6"/>
  <c r="O480" i="6"/>
  <c r="D490" i="6"/>
  <c r="D491" i="6"/>
  <c r="D492" i="6"/>
  <c r="D493" i="6"/>
  <c r="F489" i="6"/>
  <c r="G489" i="6"/>
  <c r="H489" i="6"/>
  <c r="I489" i="6"/>
  <c r="J489" i="6"/>
  <c r="K489" i="6"/>
  <c r="L489" i="6"/>
  <c r="M489" i="6"/>
  <c r="N489" i="6"/>
  <c r="O489" i="6"/>
  <c r="E489" i="6"/>
  <c r="F484" i="6"/>
  <c r="G484" i="6"/>
  <c r="H484" i="6"/>
  <c r="I484" i="6"/>
  <c r="K484" i="6"/>
  <c r="L484" i="6"/>
  <c r="M484" i="6"/>
  <c r="N484" i="6"/>
  <c r="O484" i="6"/>
  <c r="E484" i="6"/>
  <c r="D512" i="6"/>
  <c r="D513" i="6"/>
  <c r="D515" i="6"/>
  <c r="D517" i="6"/>
  <c r="F505" i="6"/>
  <c r="G505" i="6"/>
  <c r="H505" i="6"/>
  <c r="I505" i="6"/>
  <c r="J505" i="6"/>
  <c r="K505" i="6"/>
  <c r="L505" i="6"/>
  <c r="M505" i="6"/>
  <c r="N505" i="6"/>
  <c r="O505" i="6"/>
  <c r="E505" i="6"/>
  <c r="F503" i="6"/>
  <c r="G503" i="6"/>
  <c r="H503" i="6"/>
  <c r="I503" i="6"/>
  <c r="J503" i="6"/>
  <c r="K503" i="6"/>
  <c r="L503" i="6"/>
  <c r="M503" i="6"/>
  <c r="N503" i="6"/>
  <c r="O503" i="6"/>
  <c r="E503" i="6"/>
  <c r="F501" i="6"/>
  <c r="G501" i="6"/>
  <c r="H501" i="6"/>
  <c r="I501" i="6"/>
  <c r="J501" i="6"/>
  <c r="K501" i="6"/>
  <c r="L501" i="6"/>
  <c r="M501" i="6"/>
  <c r="N501" i="6"/>
  <c r="O501" i="6"/>
  <c r="E501" i="6"/>
  <c r="F500" i="6"/>
  <c r="G500" i="6"/>
  <c r="H500" i="6"/>
  <c r="I500" i="6"/>
  <c r="J500" i="6"/>
  <c r="K500" i="6"/>
  <c r="L500" i="6"/>
  <c r="M500" i="6"/>
  <c r="N500" i="6"/>
  <c r="O500" i="6"/>
  <c r="E500" i="6"/>
  <c r="F511" i="6"/>
  <c r="G511" i="6"/>
  <c r="H511" i="6"/>
  <c r="I511" i="6"/>
  <c r="J511" i="6"/>
  <c r="L511" i="6"/>
  <c r="M511" i="6"/>
  <c r="N511" i="6"/>
  <c r="O511" i="6"/>
  <c r="E511" i="6"/>
  <c r="D489" i="6" l="1"/>
  <c r="D511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50" i="6" l="1"/>
  <c r="J603" i="6"/>
  <c r="J269" i="6"/>
  <c r="J745" i="6" l="1"/>
  <c r="J644" i="6" l="1"/>
  <c r="J634" i="6"/>
  <c r="J599" i="6"/>
  <c r="J565" i="6"/>
  <c r="J536" i="6"/>
  <c r="J404" i="6"/>
  <c r="J609" i="6" l="1"/>
  <c r="J450" i="6"/>
  <c r="J414" i="6"/>
  <c r="J274" i="6"/>
  <c r="J187" i="6"/>
  <c r="J279" i="6"/>
  <c r="J41" i="6"/>
  <c r="J661" i="6"/>
  <c r="J224" i="6"/>
  <c r="J559" i="6" l="1"/>
  <c r="M199" i="6" l="1"/>
  <c r="L199" i="6"/>
  <c r="K199" i="6"/>
  <c r="O467" i="6"/>
  <c r="O444" i="6" s="1"/>
  <c r="L587" i="6"/>
  <c r="L579" i="6" s="1"/>
  <c r="M587" i="6"/>
  <c r="N587" i="6"/>
  <c r="O587" i="6"/>
  <c r="K587" i="6"/>
  <c r="M579" i="6"/>
  <c r="K695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62" i="6"/>
  <c r="J487" i="6"/>
  <c r="D487" i="6" s="1"/>
  <c r="J695" i="6"/>
  <c r="J697" i="6"/>
  <c r="J699" i="6"/>
  <c r="J209" i="6"/>
  <c r="J206" i="6" s="1"/>
  <c r="E553" i="6"/>
  <c r="J553" i="6"/>
  <c r="J619" i="6"/>
  <c r="J457" i="6"/>
  <c r="J638" i="6"/>
  <c r="J623" i="6"/>
  <c r="D623" i="6" s="1"/>
  <c r="J418" i="6"/>
  <c r="J408" i="6"/>
  <c r="J199" i="6"/>
  <c r="J506" i="6"/>
  <c r="K506" i="6"/>
  <c r="L506" i="6"/>
  <c r="J65" i="6"/>
  <c r="D65" i="6" s="1"/>
  <c r="D143" i="6"/>
  <c r="J254" i="6"/>
  <c r="D254" i="6" s="1"/>
  <c r="I578" i="6"/>
  <c r="E578" i="6"/>
  <c r="I716" i="6"/>
  <c r="I711" i="6" s="1"/>
  <c r="H716" i="6"/>
  <c r="H711" i="6" s="1"/>
  <c r="G716" i="6"/>
  <c r="G711" i="6" s="1"/>
  <c r="F716" i="6"/>
  <c r="F711" i="6" s="1"/>
  <c r="E716" i="6"/>
  <c r="E711" i="6" s="1"/>
  <c r="D715" i="6"/>
  <c r="D714" i="6"/>
  <c r="O713" i="6"/>
  <c r="O712" i="6" s="1"/>
  <c r="N713" i="6"/>
  <c r="N712" i="6" s="1"/>
  <c r="M713" i="6"/>
  <c r="M712" i="6" s="1"/>
  <c r="L713" i="6"/>
  <c r="L712" i="6" s="1"/>
  <c r="K713" i="6"/>
  <c r="K712" i="6" s="1"/>
  <c r="J713" i="6"/>
  <c r="J712" i="6" s="1"/>
  <c r="I713" i="6"/>
  <c r="I708" i="6" s="1"/>
  <c r="H713" i="6"/>
  <c r="G713" i="6"/>
  <c r="F713" i="6"/>
  <c r="F708" i="6" s="1"/>
  <c r="E713" i="6"/>
  <c r="E708" i="6" s="1"/>
  <c r="K711" i="6"/>
  <c r="J711" i="6"/>
  <c r="K710" i="6"/>
  <c r="J710" i="6"/>
  <c r="I710" i="6"/>
  <c r="H710" i="6"/>
  <c r="G710" i="6"/>
  <c r="E710" i="6"/>
  <c r="F710" i="6"/>
  <c r="K709" i="6"/>
  <c r="J709" i="6"/>
  <c r="I709" i="6"/>
  <c r="H709" i="6"/>
  <c r="G709" i="6"/>
  <c r="F709" i="6"/>
  <c r="E709" i="6"/>
  <c r="O708" i="6"/>
  <c r="O707" i="6" s="1"/>
  <c r="N708" i="6"/>
  <c r="N707" i="6" s="1"/>
  <c r="M708" i="6"/>
  <c r="M707" i="6" s="1"/>
  <c r="L708" i="6"/>
  <c r="L707" i="6" s="1"/>
  <c r="J264" i="6"/>
  <c r="J261" i="6" s="1"/>
  <c r="E551" i="6"/>
  <c r="F551" i="6"/>
  <c r="G551" i="6"/>
  <c r="G568" i="6"/>
  <c r="H551" i="6"/>
  <c r="I551" i="6"/>
  <c r="J551" i="6"/>
  <c r="K551" i="6"/>
  <c r="K568" i="6"/>
  <c r="L551" i="6"/>
  <c r="M551" i="6"/>
  <c r="N551" i="6"/>
  <c r="O551" i="6"/>
  <c r="O568" i="6"/>
  <c r="E552" i="6"/>
  <c r="F552" i="6"/>
  <c r="G552" i="6"/>
  <c r="H552" i="6"/>
  <c r="H569" i="6"/>
  <c r="I552" i="6"/>
  <c r="J552" i="6"/>
  <c r="K552" i="6"/>
  <c r="L552" i="6"/>
  <c r="L555" i="6"/>
  <c r="L549" i="6" s="1"/>
  <c r="M552" i="6"/>
  <c r="N552" i="6"/>
  <c r="O552" i="6"/>
  <c r="F553" i="6"/>
  <c r="F570" i="6"/>
  <c r="G553" i="6"/>
  <c r="H553" i="6"/>
  <c r="I553" i="6"/>
  <c r="K553" i="6"/>
  <c r="K570" i="6"/>
  <c r="E554" i="6"/>
  <c r="E544" i="6" s="1"/>
  <c r="F554" i="6"/>
  <c r="F548" i="6" s="1"/>
  <c r="G554" i="6"/>
  <c r="H554" i="6"/>
  <c r="H548" i="6" s="1"/>
  <c r="I554" i="6"/>
  <c r="I548" i="6" s="1"/>
  <c r="J554" i="6"/>
  <c r="J548" i="6" s="1"/>
  <c r="K554" i="6"/>
  <c r="L554" i="6"/>
  <c r="L548" i="6" s="1"/>
  <c r="M554" i="6"/>
  <c r="M544" i="6" s="1"/>
  <c r="N554" i="6"/>
  <c r="N548" i="6" s="1"/>
  <c r="O554" i="6"/>
  <c r="E555" i="6"/>
  <c r="F555" i="6"/>
  <c r="G555" i="6"/>
  <c r="H555" i="6"/>
  <c r="I555" i="6"/>
  <c r="J555" i="6"/>
  <c r="K555" i="6"/>
  <c r="K549" i="6" s="1"/>
  <c r="M555" i="6"/>
  <c r="N555" i="6"/>
  <c r="N549" i="6" s="1"/>
  <c r="O555" i="6"/>
  <c r="O549" i="6" s="1"/>
  <c r="F568" i="6"/>
  <c r="H568" i="6"/>
  <c r="I568" i="6"/>
  <c r="J568" i="6"/>
  <c r="L568" i="6"/>
  <c r="M568" i="6"/>
  <c r="N568" i="6"/>
  <c r="F569" i="6"/>
  <c r="G569" i="6"/>
  <c r="I569" i="6"/>
  <c r="J569" i="6"/>
  <c r="K569" i="6"/>
  <c r="L569" i="6"/>
  <c r="M569" i="6"/>
  <c r="N569" i="6"/>
  <c r="O569" i="6"/>
  <c r="G570" i="6"/>
  <c r="H570" i="6"/>
  <c r="I570" i="6"/>
  <c r="J570" i="6"/>
  <c r="L570" i="6"/>
  <c r="L547" i="6" s="1"/>
  <c r="M570" i="6"/>
  <c r="M547" i="6" s="1"/>
  <c r="N570" i="6"/>
  <c r="N547" i="6" s="1"/>
  <c r="O570" i="6"/>
  <c r="O547" i="6" s="1"/>
  <c r="F571" i="6"/>
  <c r="G571" i="6"/>
  <c r="H571" i="6"/>
  <c r="I571" i="6"/>
  <c r="J571" i="6"/>
  <c r="K571" i="6"/>
  <c r="L571" i="6"/>
  <c r="M571" i="6"/>
  <c r="N571" i="6"/>
  <c r="O571" i="6"/>
  <c r="E571" i="6"/>
  <c r="E569" i="6"/>
  <c r="E570" i="6"/>
  <c r="E568" i="6"/>
  <c r="D576" i="6"/>
  <c r="D575" i="6"/>
  <c r="D574" i="6"/>
  <c r="D573" i="6"/>
  <c r="O572" i="6"/>
  <c r="N572" i="6"/>
  <c r="M572" i="6"/>
  <c r="L572" i="6"/>
  <c r="K572" i="6"/>
  <c r="J572" i="6"/>
  <c r="I572" i="6"/>
  <c r="H572" i="6"/>
  <c r="G572" i="6"/>
  <c r="F572" i="6"/>
  <c r="E572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88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36" i="6"/>
  <c r="I658" i="6"/>
  <c r="Q658" i="6" s="1"/>
  <c r="I445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43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10" i="6"/>
  <c r="D509" i="6"/>
  <c r="D508" i="6"/>
  <c r="D507" i="6"/>
  <c r="O506" i="6"/>
  <c r="N506" i="6"/>
  <c r="M506" i="6"/>
  <c r="I506" i="6"/>
  <c r="H506" i="6"/>
  <c r="G506" i="6"/>
  <c r="F506" i="6"/>
  <c r="E506" i="6"/>
  <c r="I49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479" i="6"/>
  <c r="D488" i="6"/>
  <c r="D486" i="6"/>
  <c r="D485" i="6"/>
  <c r="M118" i="5"/>
  <c r="I745" i="6"/>
  <c r="I740" i="6" s="1"/>
  <c r="I737" i="6" s="1"/>
  <c r="I735" i="6" s="1"/>
  <c r="I634" i="6"/>
  <c r="I631" i="6" s="1"/>
  <c r="I619" i="6"/>
  <c r="I532" i="6"/>
  <c r="D532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62" i="6"/>
  <c r="I599" i="6"/>
  <c r="D599" i="6" s="1"/>
  <c r="I650" i="6"/>
  <c r="I609" i="6"/>
  <c r="D609" i="6" s="1"/>
  <c r="I408" i="6"/>
  <c r="I457" i="6"/>
  <c r="I454" i="6" s="1"/>
  <c r="I450" i="6"/>
  <c r="I418" i="6"/>
  <c r="I536" i="6"/>
  <c r="M76" i="5"/>
  <c r="H76" i="5" s="1"/>
  <c r="Q85" i="5"/>
  <c r="H85" i="5" s="1"/>
  <c r="I91" i="5"/>
  <c r="D661" i="6"/>
  <c r="D662" i="6"/>
  <c r="D660" i="6"/>
  <c r="D659" i="6"/>
  <c r="O658" i="6"/>
  <c r="N658" i="6"/>
  <c r="M658" i="6"/>
  <c r="L658" i="6"/>
  <c r="K658" i="6"/>
  <c r="J658" i="6"/>
  <c r="H658" i="6"/>
  <c r="G658" i="6"/>
  <c r="E658" i="6"/>
  <c r="F658" i="6"/>
  <c r="J91" i="5"/>
  <c r="K91" i="5"/>
  <c r="L91" i="5"/>
  <c r="O91" i="5"/>
  <c r="P91" i="5"/>
  <c r="Q91" i="5"/>
  <c r="R91" i="5"/>
  <c r="S91" i="5"/>
  <c r="H108" i="5"/>
  <c r="M40" i="5"/>
  <c r="M17" i="5" s="1"/>
  <c r="L416" i="6"/>
  <c r="M416" i="6"/>
  <c r="N416" i="6"/>
  <c r="O416" i="6"/>
  <c r="L406" i="6"/>
  <c r="M406" i="6"/>
  <c r="N406" i="6"/>
  <c r="O406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38" i="6"/>
  <c r="D739" i="6"/>
  <c r="D741" i="6"/>
  <c r="D743" i="6"/>
  <c r="D744" i="6"/>
  <c r="D746" i="6"/>
  <c r="D702" i="6"/>
  <c r="D704" i="6"/>
  <c r="D654" i="6"/>
  <c r="D655" i="6"/>
  <c r="D656" i="6"/>
  <c r="D657" i="6"/>
  <c r="D648" i="6"/>
  <c r="D649" i="6"/>
  <c r="D651" i="6"/>
  <c r="D652" i="6"/>
  <c r="D642" i="6"/>
  <c r="D643" i="6"/>
  <c r="D644" i="6"/>
  <c r="D645" i="6"/>
  <c r="D646" i="6"/>
  <c r="D637" i="6"/>
  <c r="D639" i="6"/>
  <c r="D640" i="6"/>
  <c r="D632" i="6"/>
  <c r="D633" i="6"/>
  <c r="D635" i="6"/>
  <c r="D627" i="6"/>
  <c r="D628" i="6"/>
  <c r="D629" i="6"/>
  <c r="D630" i="6"/>
  <c r="D622" i="6"/>
  <c r="D624" i="6"/>
  <c r="D625" i="6"/>
  <c r="D617" i="6"/>
  <c r="D618" i="6"/>
  <c r="D620" i="6"/>
  <c r="D612" i="6"/>
  <c r="D613" i="6"/>
  <c r="D614" i="6"/>
  <c r="D615" i="6"/>
  <c r="D607" i="6"/>
  <c r="D608" i="6"/>
  <c r="D610" i="6"/>
  <c r="D602" i="6"/>
  <c r="D603" i="6"/>
  <c r="D604" i="6"/>
  <c r="D605" i="6"/>
  <c r="D597" i="6"/>
  <c r="D598" i="6"/>
  <c r="D600" i="6"/>
  <c r="D563" i="6"/>
  <c r="D564" i="6"/>
  <c r="D565" i="6"/>
  <c r="D566" i="6"/>
  <c r="D557" i="6"/>
  <c r="D558" i="6"/>
  <c r="D559" i="6"/>
  <c r="D560" i="6"/>
  <c r="D561" i="6"/>
  <c r="D539" i="6"/>
  <c r="D540" i="6"/>
  <c r="D541" i="6"/>
  <c r="D542" i="6"/>
  <c r="D534" i="6"/>
  <c r="D535" i="6"/>
  <c r="D537" i="6"/>
  <c r="E538" i="6"/>
  <c r="F538" i="6"/>
  <c r="G538" i="6"/>
  <c r="H538" i="6"/>
  <c r="I538" i="6"/>
  <c r="J538" i="6"/>
  <c r="K538" i="6"/>
  <c r="L538" i="6"/>
  <c r="M538" i="6"/>
  <c r="N538" i="6"/>
  <c r="O538" i="6"/>
  <c r="D529" i="6"/>
  <c r="D530" i="6"/>
  <c r="D531" i="6"/>
  <c r="D465" i="6"/>
  <c r="D466" i="6"/>
  <c r="D468" i="6"/>
  <c r="D461" i="6"/>
  <c r="D463" i="6"/>
  <c r="D460" i="6"/>
  <c r="D455" i="6"/>
  <c r="D456" i="6"/>
  <c r="D458" i="6"/>
  <c r="D448" i="6"/>
  <c r="D449" i="6"/>
  <c r="D451" i="6"/>
  <c r="D452" i="6"/>
  <c r="D453" i="6"/>
  <c r="D446" i="6"/>
  <c r="D427" i="6"/>
  <c r="D428" i="6"/>
  <c r="D429" i="6"/>
  <c r="D430" i="6"/>
  <c r="D422" i="6"/>
  <c r="D423" i="6"/>
  <c r="D424" i="6"/>
  <c r="D425" i="6"/>
  <c r="D417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47" i="6"/>
  <c r="M647" i="6"/>
  <c r="M740" i="6"/>
  <c r="M735" i="6" s="1"/>
  <c r="L740" i="6"/>
  <c r="L737" i="6" s="1"/>
  <c r="L742" i="6"/>
  <c r="L647" i="6"/>
  <c r="O647" i="6"/>
  <c r="M74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27" i="6"/>
  <c r="M527" i="6"/>
  <c r="M522" i="6" s="1"/>
  <c r="M17" i="6" s="1"/>
  <c r="N527" i="6"/>
  <c r="N522" i="6" s="1"/>
  <c r="N17" i="6" s="1"/>
  <c r="O527" i="6"/>
  <c r="O522" i="6" s="1"/>
  <c r="O17" i="6" s="1"/>
  <c r="L525" i="6"/>
  <c r="M525" i="6"/>
  <c r="N525" i="6"/>
  <c r="O525" i="6"/>
  <c r="L524" i="6"/>
  <c r="L519" i="6" s="1"/>
  <c r="M524" i="6"/>
  <c r="M519" i="6" s="1"/>
  <c r="N524" i="6"/>
  <c r="N519" i="6" s="1"/>
  <c r="O524" i="6"/>
  <c r="O519" i="6" s="1"/>
  <c r="L520" i="6"/>
  <c r="M520" i="6"/>
  <c r="N520" i="6"/>
  <c r="O520" i="6"/>
  <c r="L584" i="6"/>
  <c r="M584" i="6"/>
  <c r="N584" i="6"/>
  <c r="O584" i="6"/>
  <c r="L582" i="6"/>
  <c r="M582" i="6"/>
  <c r="N582" i="6"/>
  <c r="O582" i="6"/>
  <c r="L578" i="6"/>
  <c r="M578" i="6"/>
  <c r="N578" i="6"/>
  <c r="O578" i="6"/>
  <c r="L589" i="6"/>
  <c r="M589" i="6"/>
  <c r="N589" i="6"/>
  <c r="O589" i="6"/>
  <c r="N579" i="6"/>
  <c r="L586" i="6"/>
  <c r="M586" i="6"/>
  <c r="N586" i="6"/>
  <c r="O586" i="6"/>
  <c r="L606" i="6"/>
  <c r="M549" i="6"/>
  <c r="M548" i="6"/>
  <c r="O548" i="6"/>
  <c r="L562" i="6"/>
  <c r="M562" i="6"/>
  <c r="N562" i="6"/>
  <c r="O562" i="6"/>
  <c r="L556" i="6"/>
  <c r="M556" i="6"/>
  <c r="N556" i="6"/>
  <c r="O556" i="6"/>
  <c r="L533" i="6"/>
  <c r="M533" i="6"/>
  <c r="N533" i="6"/>
  <c r="O533" i="6"/>
  <c r="L528" i="6"/>
  <c r="M528" i="6"/>
  <c r="N528" i="6"/>
  <c r="O528" i="6"/>
  <c r="L464" i="6"/>
  <c r="M464" i="6"/>
  <c r="L459" i="6"/>
  <c r="M459" i="6"/>
  <c r="N459" i="6"/>
  <c r="O459" i="6"/>
  <c r="L454" i="6"/>
  <c r="M454" i="6"/>
  <c r="N454" i="6"/>
  <c r="O454" i="6"/>
  <c r="L442" i="6"/>
  <c r="M442" i="6"/>
  <c r="M397" i="6"/>
  <c r="N442" i="6"/>
  <c r="O442" i="6"/>
  <c r="L443" i="6"/>
  <c r="M443" i="6"/>
  <c r="N443" i="6"/>
  <c r="O443" i="6"/>
  <c r="L445" i="6"/>
  <c r="M445" i="6"/>
  <c r="N445" i="6"/>
  <c r="O445" i="6"/>
  <c r="L447" i="6"/>
  <c r="M447" i="6"/>
  <c r="N447" i="6"/>
  <c r="O447" i="6"/>
  <c r="L397" i="6"/>
  <c r="N397" i="6"/>
  <c r="O397" i="6"/>
  <c r="L400" i="6"/>
  <c r="M400" i="6"/>
  <c r="N400" i="6"/>
  <c r="O400" i="6"/>
  <c r="L398" i="6"/>
  <c r="M398" i="6"/>
  <c r="N398" i="6"/>
  <c r="O39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596" i="6"/>
  <c r="M596" i="6"/>
  <c r="N596" i="6"/>
  <c r="O596" i="6"/>
  <c r="L601" i="6"/>
  <c r="M601" i="6"/>
  <c r="N601" i="6"/>
  <c r="O601" i="6"/>
  <c r="L736" i="6"/>
  <c r="M736" i="6"/>
  <c r="N736" i="6"/>
  <c r="O736" i="6"/>
  <c r="L733" i="6"/>
  <c r="M733" i="6"/>
  <c r="N733" i="6"/>
  <c r="O733" i="6"/>
  <c r="L734" i="6"/>
  <c r="L694" i="6" s="1"/>
  <c r="L693" i="6" s="1"/>
  <c r="M734" i="6"/>
  <c r="M694" i="6" s="1"/>
  <c r="M693" i="6" s="1"/>
  <c r="N734" i="6"/>
  <c r="N694" i="6" s="1"/>
  <c r="N693" i="6" s="1"/>
  <c r="O734" i="6"/>
  <c r="O694" i="6" s="1"/>
  <c r="O693" i="6" s="1"/>
  <c r="L653" i="6"/>
  <c r="M653" i="6"/>
  <c r="N653" i="6"/>
  <c r="O653" i="6"/>
  <c r="L621" i="6"/>
  <c r="M621" i="6"/>
  <c r="N621" i="6"/>
  <c r="O621" i="6"/>
  <c r="L616" i="6"/>
  <c r="M616" i="6"/>
  <c r="N616" i="6"/>
  <c r="O616" i="6"/>
  <c r="L631" i="6"/>
  <c r="M631" i="6"/>
  <c r="N631" i="6"/>
  <c r="O631" i="6"/>
  <c r="L636" i="6"/>
  <c r="M636" i="6"/>
  <c r="N636" i="6"/>
  <c r="O636" i="6"/>
  <c r="L641" i="6"/>
  <c r="M641" i="6"/>
  <c r="N641" i="6"/>
  <c r="O641" i="6"/>
  <c r="O701" i="6"/>
  <c r="O700" i="6" s="1"/>
  <c r="N701" i="6"/>
  <c r="N700" i="6" s="1"/>
  <c r="M701" i="6"/>
  <c r="M700" i="6" s="1"/>
  <c r="L701" i="6"/>
  <c r="L700" i="6" s="1"/>
  <c r="O626" i="6"/>
  <c r="N626" i="6"/>
  <c r="M626" i="6"/>
  <c r="L626" i="6"/>
  <c r="O611" i="6"/>
  <c r="N611" i="6"/>
  <c r="M611" i="6"/>
  <c r="L611" i="6"/>
  <c r="N591" i="6"/>
  <c r="M591" i="6"/>
  <c r="L591" i="6"/>
  <c r="L411" i="6"/>
  <c r="M411" i="6"/>
  <c r="N411" i="6"/>
  <c r="O411" i="6"/>
  <c r="L401" i="6"/>
  <c r="M401" i="6"/>
  <c r="N401" i="6"/>
  <c r="O401" i="6"/>
  <c r="N740" i="6"/>
  <c r="N735" i="6" s="1"/>
  <c r="N464" i="6"/>
  <c r="L544" i="6"/>
  <c r="O544" i="6"/>
  <c r="N544" i="6"/>
  <c r="N742" i="6"/>
  <c r="L567" i="6"/>
  <c r="N567" i="6"/>
  <c r="O742" i="6"/>
  <c r="O74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26" i="6"/>
  <c r="N426" i="6"/>
  <c r="M426" i="6"/>
  <c r="L426" i="6"/>
  <c r="O421" i="6"/>
  <c r="N421" i="6"/>
  <c r="M421" i="6"/>
  <c r="L42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N34" i="6" s="1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44" i="6"/>
  <c r="G444" i="6"/>
  <c r="H444" i="6"/>
  <c r="J444" i="6"/>
  <c r="K24" i="6"/>
  <c r="E444" i="6"/>
  <c r="K464" i="6"/>
  <c r="J464" i="6"/>
  <c r="I464" i="6"/>
  <c r="H464" i="6"/>
  <c r="G464" i="6"/>
  <c r="F464" i="6"/>
  <c r="E464" i="6"/>
  <c r="J66" i="5"/>
  <c r="K66" i="5"/>
  <c r="L66" i="5"/>
  <c r="N66" i="5"/>
  <c r="O66" i="5"/>
  <c r="I66" i="5"/>
  <c r="J653" i="6"/>
  <c r="D201" i="6"/>
  <c r="D203" i="6"/>
  <c r="U102" i="5"/>
  <c r="I587" i="6"/>
  <c r="E695" i="6"/>
  <c r="F695" i="6"/>
  <c r="F587" i="6" s="1"/>
  <c r="F579" i="6" s="1"/>
  <c r="G695" i="6"/>
  <c r="H695" i="6"/>
  <c r="H587" i="6" s="1"/>
  <c r="H579" i="6" s="1"/>
  <c r="I695" i="6"/>
  <c r="E697" i="6"/>
  <c r="F697" i="6"/>
  <c r="F588" i="6" s="1"/>
  <c r="G697" i="6"/>
  <c r="G588" i="6" s="1"/>
  <c r="H697" i="6"/>
  <c r="H588" i="6" s="1"/>
  <c r="I697" i="6"/>
  <c r="K697" i="6"/>
  <c r="K581" i="6" s="1"/>
  <c r="K699" i="6"/>
  <c r="I706" i="6"/>
  <c r="I699" i="6" s="1"/>
  <c r="H706" i="6"/>
  <c r="H699" i="6" s="1"/>
  <c r="G706" i="6"/>
  <c r="G699" i="6" s="1"/>
  <c r="F706" i="6"/>
  <c r="F699" i="6" s="1"/>
  <c r="E706" i="6"/>
  <c r="K701" i="6"/>
  <c r="K700" i="6" s="1"/>
  <c r="J701" i="6"/>
  <c r="J700" i="6" s="1"/>
  <c r="I701" i="6"/>
  <c r="I694" i="6" s="1"/>
  <c r="H701" i="6"/>
  <c r="G701" i="6"/>
  <c r="F701" i="6"/>
  <c r="F694" i="6" s="1"/>
  <c r="E701" i="6"/>
  <c r="K236" i="6"/>
  <c r="J236" i="6"/>
  <c r="I236" i="6"/>
  <c r="H236" i="6"/>
  <c r="G236" i="6"/>
  <c r="F236" i="6"/>
  <c r="E236" i="6"/>
  <c r="I443" i="6"/>
  <c r="E443" i="6"/>
  <c r="F443" i="6"/>
  <c r="G443" i="6"/>
  <c r="H443" i="6"/>
  <c r="K443" i="6"/>
  <c r="E445" i="6"/>
  <c r="F445" i="6"/>
  <c r="G445" i="6"/>
  <c r="H445" i="6"/>
  <c r="J445" i="6"/>
  <c r="K445" i="6"/>
  <c r="F442" i="6"/>
  <c r="G442" i="6"/>
  <c r="H442" i="6"/>
  <c r="I442" i="6"/>
  <c r="J442" i="6"/>
  <c r="K442" i="6"/>
  <c r="E442" i="6"/>
  <c r="K459" i="6"/>
  <c r="J459" i="6"/>
  <c r="H459" i="6"/>
  <c r="G459" i="6"/>
  <c r="F459" i="6"/>
  <c r="E459" i="6"/>
  <c r="K231" i="6"/>
  <c r="J231" i="6"/>
  <c r="I231" i="6"/>
  <c r="H231" i="6"/>
  <c r="G231" i="6"/>
  <c r="F231" i="6"/>
  <c r="E231" i="6"/>
  <c r="E399" i="6"/>
  <c r="H527" i="6"/>
  <c r="H522" i="6" s="1"/>
  <c r="F398" i="6"/>
  <c r="G398" i="6"/>
  <c r="H398" i="6"/>
  <c r="I397" i="6"/>
  <c r="I399" i="6"/>
  <c r="I400" i="6"/>
  <c r="K398" i="6"/>
  <c r="E398" i="6"/>
  <c r="F399" i="6"/>
  <c r="G399" i="6"/>
  <c r="H399" i="6"/>
  <c r="J399" i="6"/>
  <c r="K636" i="6"/>
  <c r="J636" i="6"/>
  <c r="H636" i="6"/>
  <c r="G636" i="6"/>
  <c r="F636" i="6"/>
  <c r="E636" i="6"/>
  <c r="K621" i="6"/>
  <c r="I621" i="6"/>
  <c r="H621" i="6"/>
  <c r="G621" i="6"/>
  <c r="F621" i="6"/>
  <c r="E621" i="6"/>
  <c r="E626" i="6"/>
  <c r="F626" i="6"/>
  <c r="G626" i="6"/>
  <c r="H626" i="6"/>
  <c r="I626" i="6"/>
  <c r="K601" i="6"/>
  <c r="J601" i="6"/>
  <c r="I601" i="6"/>
  <c r="H601" i="6"/>
  <c r="G601" i="6"/>
  <c r="F601" i="6"/>
  <c r="E601" i="6"/>
  <c r="K416" i="6"/>
  <c r="J416" i="6"/>
  <c r="H416" i="6"/>
  <c r="G416" i="6"/>
  <c r="F416" i="6"/>
  <c r="E416" i="6"/>
  <c r="K406" i="6"/>
  <c r="I406" i="6"/>
  <c r="H406" i="6"/>
  <c r="G406" i="6"/>
  <c r="F406" i="6"/>
  <c r="E406" i="6"/>
  <c r="L83" i="5"/>
  <c r="L79" i="5" s="1"/>
  <c r="G61" i="6"/>
  <c r="H61" i="6"/>
  <c r="I61" i="6"/>
  <c r="Q61" i="6" s="1"/>
  <c r="J61" i="6"/>
  <c r="K61" i="6"/>
  <c r="F61" i="6"/>
  <c r="I527" i="6"/>
  <c r="I522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584" i="6"/>
  <c r="K584" i="6"/>
  <c r="J582" i="6"/>
  <c r="K582" i="6"/>
  <c r="K578" i="6"/>
  <c r="J589" i="6"/>
  <c r="K589" i="6"/>
  <c r="K586" i="6"/>
  <c r="K585" i="6" s="1"/>
  <c r="J734" i="6"/>
  <c r="K734" i="6"/>
  <c r="J736" i="6"/>
  <c r="K736" i="6"/>
  <c r="K733" i="6"/>
  <c r="K740" i="6"/>
  <c r="K737" i="6" s="1"/>
  <c r="K742" i="6"/>
  <c r="K653" i="6"/>
  <c r="K647" i="6"/>
  <c r="K641" i="6"/>
  <c r="K631" i="6"/>
  <c r="K626" i="6"/>
  <c r="K616" i="6"/>
  <c r="K611" i="6"/>
  <c r="K606" i="6"/>
  <c r="K596" i="6"/>
  <c r="K548" i="6"/>
  <c r="K562" i="6"/>
  <c r="K556" i="6"/>
  <c r="K520" i="6"/>
  <c r="K527" i="6"/>
  <c r="K522" i="6" s="1"/>
  <c r="K17" i="6" s="1"/>
  <c r="K526" i="6"/>
  <c r="K521" i="6" s="1"/>
  <c r="K525" i="6"/>
  <c r="K524" i="6"/>
  <c r="K519" i="6" s="1"/>
  <c r="K528" i="6"/>
  <c r="J527" i="6"/>
  <c r="J522" i="6" s="1"/>
  <c r="J17" i="6" s="1"/>
  <c r="K533" i="6"/>
  <c r="K544" i="6"/>
  <c r="K184" i="6"/>
  <c r="K454" i="6"/>
  <c r="K447" i="6"/>
  <c r="K426" i="6"/>
  <c r="K421" i="6"/>
  <c r="K411" i="6"/>
  <c r="K397" i="6"/>
  <c r="K400" i="6"/>
  <c r="K40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25" i="6"/>
  <c r="G525" i="6"/>
  <c r="G524" i="6"/>
  <c r="G519" i="6" s="1"/>
  <c r="G526" i="6"/>
  <c r="G521" i="6" s="1"/>
  <c r="G527" i="6"/>
  <c r="G522" i="6" s="1"/>
  <c r="G17" i="6" s="1"/>
  <c r="H525" i="6"/>
  <c r="I525" i="6"/>
  <c r="J525" i="6"/>
  <c r="E525" i="6"/>
  <c r="E520" i="6" s="1"/>
  <c r="F526" i="6"/>
  <c r="F521" i="6" s="1"/>
  <c r="H526" i="6"/>
  <c r="H521" i="6" s="1"/>
  <c r="J526" i="6"/>
  <c r="J521" i="6" s="1"/>
  <c r="J524" i="6"/>
  <c r="J519" i="6" s="1"/>
  <c r="E526" i="6"/>
  <c r="E521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27" i="6"/>
  <c r="F522" i="6" s="1"/>
  <c r="F17" i="6" s="1"/>
  <c r="E527" i="6"/>
  <c r="E522" i="6" s="1"/>
  <c r="E17" i="6" s="1"/>
  <c r="F524" i="6"/>
  <c r="F519" i="6" s="1"/>
  <c r="H524" i="6"/>
  <c r="H519" i="6" s="1"/>
  <c r="I524" i="6"/>
  <c r="I519" i="6" s="1"/>
  <c r="E524" i="6"/>
  <c r="E519" i="6" s="1"/>
  <c r="H184" i="6"/>
  <c r="J740" i="6"/>
  <c r="J73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53" i="6"/>
  <c r="G653" i="6"/>
  <c r="E653" i="6"/>
  <c r="H653" i="6"/>
  <c r="I653" i="6"/>
  <c r="G38" i="6"/>
  <c r="H647" i="6"/>
  <c r="I647" i="6"/>
  <c r="J647" i="6"/>
  <c r="F647" i="6"/>
  <c r="G647" i="6"/>
  <c r="J426" i="6"/>
  <c r="I426" i="6"/>
  <c r="H426" i="6"/>
  <c r="G426" i="6"/>
  <c r="F426" i="6"/>
  <c r="E426" i="6"/>
  <c r="E129" i="6"/>
  <c r="I35" i="6"/>
  <c r="J75" i="5"/>
  <c r="K75" i="5"/>
  <c r="L75" i="5"/>
  <c r="N75" i="5"/>
  <c r="I75" i="5"/>
  <c r="H740" i="6"/>
  <c r="H737" i="6" s="1"/>
  <c r="H735" i="6" s="1"/>
  <c r="G740" i="6"/>
  <c r="G737" i="6" s="1"/>
  <c r="G735" i="6" s="1"/>
  <c r="G606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40" i="6"/>
  <c r="E735" i="6" s="1"/>
  <c r="F740" i="6"/>
  <c r="F735" i="6" s="1"/>
  <c r="F178" i="6"/>
  <c r="G178" i="6"/>
  <c r="H178" i="6"/>
  <c r="I178" i="6"/>
  <c r="J178" i="6"/>
  <c r="E178" i="6"/>
  <c r="D180" i="6"/>
  <c r="D179" i="6"/>
  <c r="E182" i="6"/>
  <c r="E35" i="6" s="1"/>
  <c r="D181" i="6"/>
  <c r="E397" i="6"/>
  <c r="F397" i="6"/>
  <c r="G397" i="6"/>
  <c r="H397" i="6"/>
  <c r="J397" i="6"/>
  <c r="E400" i="6"/>
  <c r="F400" i="6"/>
  <c r="G400" i="6"/>
  <c r="H400" i="6"/>
  <c r="J400" i="6"/>
  <c r="E401" i="6"/>
  <c r="F401" i="6"/>
  <c r="G401" i="6"/>
  <c r="H401" i="6"/>
  <c r="I401" i="6"/>
  <c r="J401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11" i="6"/>
  <c r="F611" i="6"/>
  <c r="G611" i="6"/>
  <c r="H611" i="6"/>
  <c r="I611" i="6"/>
  <c r="J611" i="6"/>
  <c r="E606" i="6"/>
  <c r="F606" i="6"/>
  <c r="D595" i="6"/>
  <c r="J591" i="6"/>
  <c r="H591" i="6"/>
  <c r="G591" i="6"/>
  <c r="F591" i="6"/>
  <c r="E591" i="6"/>
  <c r="F589" i="6"/>
  <c r="G589" i="6"/>
  <c r="H589" i="6"/>
  <c r="I589" i="6"/>
  <c r="E589" i="6"/>
  <c r="E582" i="6" s="1"/>
  <c r="J742" i="6"/>
  <c r="H742" i="6"/>
  <c r="G742" i="6"/>
  <c r="F742" i="6"/>
  <c r="E742" i="6"/>
  <c r="E421" i="6"/>
  <c r="F421" i="6"/>
  <c r="G421" i="6"/>
  <c r="H421" i="6"/>
  <c r="I421" i="6"/>
  <c r="J421" i="6"/>
  <c r="D554" i="6"/>
  <c r="G548" i="6"/>
  <c r="G544" i="6"/>
  <c r="J544" i="6"/>
  <c r="H544" i="6"/>
  <c r="F544" i="6"/>
  <c r="E548" i="6"/>
  <c r="D594" i="6"/>
  <c r="I591" i="6"/>
  <c r="J80" i="5"/>
  <c r="J11" i="5" s="1"/>
  <c r="F590" i="6"/>
  <c r="G590" i="6"/>
  <c r="H590" i="6"/>
  <c r="I590" i="6"/>
  <c r="E590" i="6"/>
  <c r="F586" i="6"/>
  <c r="G586" i="6"/>
  <c r="H586" i="6"/>
  <c r="I586" i="6"/>
  <c r="J586" i="6"/>
  <c r="E586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26" i="6"/>
  <c r="E650" i="6"/>
  <c r="D650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56" i="6"/>
  <c r="F556" i="6"/>
  <c r="G556" i="6"/>
  <c r="H556" i="6"/>
  <c r="I556" i="6"/>
  <c r="J556" i="6"/>
  <c r="E562" i="6"/>
  <c r="F562" i="6"/>
  <c r="G562" i="6"/>
  <c r="H562" i="6"/>
  <c r="I562" i="6"/>
  <c r="J562" i="6"/>
  <c r="F549" i="6"/>
  <c r="G549" i="6"/>
  <c r="H549" i="6"/>
  <c r="I549" i="6"/>
  <c r="J549" i="6"/>
  <c r="F582" i="6"/>
  <c r="G582" i="6"/>
  <c r="H582" i="6"/>
  <c r="I582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41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33" i="6"/>
  <c r="H734" i="6"/>
  <c r="H736" i="6"/>
  <c r="G733" i="6"/>
  <c r="G734" i="6"/>
  <c r="G736" i="6"/>
  <c r="E737" i="6"/>
  <c r="I736" i="6"/>
  <c r="E736" i="6"/>
  <c r="F736" i="6"/>
  <c r="F733" i="6"/>
  <c r="F734" i="6"/>
  <c r="I734" i="6"/>
  <c r="E734" i="6"/>
  <c r="J733" i="6"/>
  <c r="I733" i="6"/>
  <c r="E733" i="6"/>
  <c r="G641" i="6"/>
  <c r="F641" i="6"/>
  <c r="E631" i="6"/>
  <c r="G616" i="6"/>
  <c r="E616" i="6"/>
  <c r="F616" i="6"/>
  <c r="H616" i="6"/>
  <c r="I616" i="6"/>
  <c r="J616" i="6"/>
  <c r="J596" i="6"/>
  <c r="G596" i="6"/>
  <c r="F596" i="6"/>
  <c r="E596" i="6"/>
  <c r="I584" i="6"/>
  <c r="G584" i="6"/>
  <c r="F584" i="6"/>
  <c r="E584" i="6"/>
  <c r="J578" i="6"/>
  <c r="H578" i="6"/>
  <c r="G578" i="6"/>
  <c r="F578" i="6"/>
  <c r="J533" i="6"/>
  <c r="I533" i="6"/>
  <c r="H533" i="6"/>
  <c r="G533" i="6"/>
  <c r="F533" i="6"/>
  <c r="E533" i="6"/>
  <c r="J528" i="6"/>
  <c r="I528" i="6"/>
  <c r="H528" i="6"/>
  <c r="G528" i="6"/>
  <c r="F528" i="6"/>
  <c r="E528" i="6"/>
  <c r="J520" i="6"/>
  <c r="I520" i="6"/>
  <c r="H520" i="6"/>
  <c r="G520" i="6"/>
  <c r="F520" i="6"/>
  <c r="J454" i="6"/>
  <c r="H454" i="6"/>
  <c r="G454" i="6"/>
  <c r="F454" i="6"/>
  <c r="E454" i="6"/>
  <c r="J447" i="6"/>
  <c r="I447" i="6"/>
  <c r="H447" i="6"/>
  <c r="G447" i="6"/>
  <c r="F447" i="6"/>
  <c r="E447" i="6"/>
  <c r="J411" i="6"/>
  <c r="I411" i="6"/>
  <c r="H411" i="6"/>
  <c r="G411" i="6"/>
  <c r="F411" i="6"/>
  <c r="E411" i="6"/>
  <c r="J113" i="5"/>
  <c r="K113" i="5"/>
  <c r="E550" i="6"/>
  <c r="D45" i="6"/>
  <c r="G587" i="6"/>
  <c r="G579" i="6" s="1"/>
  <c r="E587" i="6"/>
  <c r="E579" i="6" s="1"/>
  <c r="J164" i="6"/>
  <c r="D42" i="6"/>
  <c r="G631" i="6"/>
  <c r="H641" i="6"/>
  <c r="H596" i="6"/>
  <c r="F631" i="6"/>
  <c r="M113" i="5"/>
  <c r="F38" i="6"/>
  <c r="E38" i="6"/>
  <c r="H38" i="6"/>
  <c r="L113" i="5"/>
  <c r="I38" i="6"/>
  <c r="I641" i="6"/>
  <c r="J641" i="6"/>
  <c r="H631" i="6"/>
  <c r="I158" i="6"/>
  <c r="J35" i="6"/>
  <c r="J38" i="6"/>
  <c r="H606" i="6"/>
  <c r="I606" i="6"/>
  <c r="J631" i="6"/>
  <c r="J606" i="6"/>
  <c r="O78" i="5"/>
  <c r="L577" i="6"/>
  <c r="I459" i="6"/>
  <c r="D462" i="6"/>
  <c r="H97" i="5"/>
  <c r="I79" i="5"/>
  <c r="L522" i="6"/>
  <c r="L17" i="6" s="1"/>
  <c r="L735" i="6"/>
  <c r="K90" i="5"/>
  <c r="G19" i="6"/>
  <c r="L114" i="5"/>
  <c r="L89" i="5"/>
  <c r="L171" i="6"/>
  <c r="N81" i="5"/>
  <c r="I89" i="5"/>
  <c r="D638" i="6"/>
  <c r="S15" i="5"/>
  <c r="K708" i="6"/>
  <c r="K707" i="6" s="1"/>
  <c r="D450" i="6"/>
  <c r="D716" i="6"/>
  <c r="G708" i="6"/>
  <c r="I707" i="6"/>
  <c r="I81" i="5"/>
  <c r="P79" i="5"/>
  <c r="M606" i="6"/>
  <c r="D134" i="6"/>
  <c r="I80" i="5"/>
  <c r="I11" i="5" s="1"/>
  <c r="O77" i="5"/>
  <c r="R90" i="5"/>
  <c r="J694" i="6"/>
  <c r="O579" i="6"/>
  <c r="N523" i="6"/>
  <c r="S79" i="5"/>
  <c r="R118" i="5"/>
  <c r="S118" i="5" s="1"/>
  <c r="S113" i="5" s="1"/>
  <c r="Q115" i="5"/>
  <c r="R115" i="5" s="1"/>
  <c r="I526" i="6"/>
  <c r="I521" i="6" s="1"/>
  <c r="D536" i="6"/>
  <c r="H68" i="5"/>
  <c r="M66" i="5"/>
  <c r="P621" i="6"/>
  <c r="D619" i="6"/>
  <c r="M115" i="5"/>
  <c r="M114" i="5" s="1"/>
  <c r="H19" i="6"/>
  <c r="H87" i="5"/>
  <c r="M84" i="5"/>
  <c r="M77" i="5" s="1"/>
  <c r="N606" i="6"/>
  <c r="O606" i="6"/>
  <c r="D582" i="6" l="1"/>
  <c r="E13" i="6"/>
  <c r="D13" i="6" s="1"/>
  <c r="D23" i="6"/>
  <c r="L31" i="6"/>
  <c r="N31" i="6"/>
  <c r="N21" i="6" s="1"/>
  <c r="M31" i="6"/>
  <c r="M21" i="6" s="1"/>
  <c r="H567" i="6"/>
  <c r="J398" i="6"/>
  <c r="G567" i="6"/>
  <c r="D591" i="6"/>
  <c r="D568" i="6"/>
  <c r="G550" i="6"/>
  <c r="I398" i="6"/>
  <c r="J693" i="6"/>
  <c r="M171" i="6"/>
  <c r="K694" i="6"/>
  <c r="I712" i="6"/>
  <c r="G707" i="6"/>
  <c r="I596" i="6"/>
  <c r="F24" i="6"/>
  <c r="I25" i="6"/>
  <c r="I15" i="6" s="1"/>
  <c r="J406" i="6"/>
  <c r="I416" i="6"/>
  <c r="D416" i="6" s="1"/>
  <c r="J621" i="6"/>
  <c r="D467" i="6"/>
  <c r="O464" i="6"/>
  <c r="D408" i="6"/>
  <c r="N24" i="6"/>
  <c r="K21" i="6"/>
  <c r="H84" i="5"/>
  <c r="L14" i="5"/>
  <c r="J14" i="5"/>
  <c r="Q83" i="5"/>
  <c r="Q116" i="5"/>
  <c r="R116" i="5" s="1"/>
  <c r="S116" i="5" s="1"/>
  <c r="D457" i="6"/>
  <c r="H106" i="5"/>
  <c r="D264" i="6"/>
  <c r="J708" i="6"/>
  <c r="J707" i="6" s="1"/>
  <c r="G712" i="6"/>
  <c r="R14" i="5"/>
  <c r="P77" i="5"/>
  <c r="O567" i="6"/>
  <c r="N550" i="6"/>
  <c r="D182" i="6"/>
  <c r="L28" i="6"/>
  <c r="I546" i="6"/>
  <c r="E87" i="6"/>
  <c r="M518" i="6"/>
  <c r="O737" i="6"/>
  <c r="O735" i="6"/>
  <c r="H105" i="5"/>
  <c r="D418" i="6"/>
  <c r="O89" i="5"/>
  <c r="S14" i="5"/>
  <c r="S13" i="5" s="1"/>
  <c r="H46" i="5"/>
  <c r="E707" i="6"/>
  <c r="D553" i="6"/>
  <c r="H700" i="6"/>
  <c r="E137" i="6"/>
  <c r="N14" i="5"/>
  <c r="J89" i="5"/>
  <c r="N77" i="5"/>
  <c r="K77" i="5"/>
  <c r="J81" i="5"/>
  <c r="Q113" i="5"/>
  <c r="H48" i="5"/>
  <c r="H119" i="5"/>
  <c r="D641" i="6"/>
  <c r="E31" i="6"/>
  <c r="D611" i="6"/>
  <c r="O88" i="5"/>
  <c r="L77" i="5"/>
  <c r="K14" i="5"/>
  <c r="D601" i="6"/>
  <c r="D621" i="6"/>
  <c r="K441" i="6"/>
  <c r="H66" i="5"/>
  <c r="J114" i="5"/>
  <c r="N441" i="6"/>
  <c r="Q114" i="5"/>
  <c r="O114" i="5"/>
  <c r="F700" i="6"/>
  <c r="I579" i="6"/>
  <c r="Q90" i="5"/>
  <c r="V94" i="5"/>
  <c r="M80" i="5"/>
  <c r="M11" i="5" s="1"/>
  <c r="H92" i="5"/>
  <c r="D44" i="6"/>
  <c r="D590" i="6"/>
  <c r="I114" i="5"/>
  <c r="Q14" i="5"/>
  <c r="D538" i="6"/>
  <c r="D711" i="6"/>
  <c r="F707" i="6"/>
  <c r="I88" i="5"/>
  <c r="H83" i="5"/>
  <c r="D445" i="6"/>
  <c r="D745" i="6"/>
  <c r="L585" i="6"/>
  <c r="N585" i="6"/>
  <c r="M91" i="5"/>
  <c r="M90" i="5" s="1"/>
  <c r="H117" i="5"/>
  <c r="I444" i="6"/>
  <c r="D444" i="6" s="1"/>
  <c r="K81" i="5"/>
  <c r="J78" i="5"/>
  <c r="I742" i="6"/>
  <c r="F396" i="6"/>
  <c r="J79" i="5"/>
  <c r="M75" i="5"/>
  <c r="H75" i="5" s="1"/>
  <c r="K25" i="6"/>
  <c r="I77" i="5"/>
  <c r="S81" i="5"/>
  <c r="M737" i="6"/>
  <c r="M25" i="6"/>
  <c r="S77" i="5"/>
  <c r="M89" i="5"/>
  <c r="D631" i="6"/>
  <c r="J15" i="5"/>
  <c r="J13" i="5" s="1"/>
  <c r="N16" i="5"/>
  <c r="N90" i="5"/>
  <c r="O546" i="6"/>
  <c r="F712" i="6"/>
  <c r="D586" i="6"/>
  <c r="Q89" i="5"/>
  <c r="Q88" i="5" s="1"/>
  <c r="I15" i="5"/>
  <c r="I12" i="5" s="1"/>
  <c r="J587" i="6"/>
  <c r="J579" i="6" s="1"/>
  <c r="D706" i="6"/>
  <c r="D695" i="6"/>
  <c r="S12" i="5"/>
  <c r="R77" i="5"/>
  <c r="F693" i="6"/>
  <c r="J31" i="6"/>
  <c r="M74" i="5"/>
  <c r="M73" i="5" s="1"/>
  <c r="H73" i="5" s="1"/>
  <c r="D626" i="6"/>
  <c r="D426" i="6"/>
  <c r="L88" i="5"/>
  <c r="H94" i="5"/>
  <c r="N518" i="6"/>
  <c r="Q77" i="5"/>
  <c r="L12" i="5"/>
  <c r="Q15" i="5"/>
  <c r="J44" i="6"/>
  <c r="J34" i="6"/>
  <c r="I523" i="6"/>
  <c r="H82" i="5"/>
  <c r="E94" i="6"/>
  <c r="G31" i="6"/>
  <c r="P114" i="5"/>
  <c r="G546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699" i="6"/>
  <c r="D699" i="6" s="1"/>
  <c r="P89" i="5"/>
  <c r="D589" i="6"/>
  <c r="I693" i="6"/>
  <c r="N113" i="5"/>
  <c r="H113" i="5" s="1"/>
  <c r="D145" i="6"/>
  <c r="D94" i="6"/>
  <c r="H34" i="6"/>
  <c r="D562" i="6"/>
  <c r="I78" i="5"/>
  <c r="I10" i="5" s="1"/>
  <c r="E694" i="6"/>
  <c r="E700" i="6"/>
  <c r="U110" i="5"/>
  <c r="P90" i="5"/>
  <c r="D634" i="6"/>
  <c r="H40" i="5"/>
  <c r="K15" i="5"/>
  <c r="K12" i="5" s="1"/>
  <c r="E712" i="6"/>
  <c r="O15" i="5"/>
  <c r="O12" i="5" s="1"/>
  <c r="J484" i="6"/>
  <c r="D484" i="6" s="1"/>
  <c r="J482" i="6"/>
  <c r="J479" i="6" s="1"/>
  <c r="K88" i="5"/>
  <c r="G164" i="6"/>
  <c r="G34" i="6"/>
  <c r="I13" i="5"/>
  <c r="H118" i="5"/>
  <c r="I9" i="5"/>
  <c r="M14" i="5"/>
  <c r="H91" i="5"/>
  <c r="H61" i="5"/>
  <c r="D587" i="6"/>
  <c r="R81" i="5"/>
  <c r="O81" i="5"/>
  <c r="D110" i="6"/>
  <c r="D528" i="6"/>
  <c r="E732" i="6"/>
  <c r="D68" i="6"/>
  <c r="F31" i="6"/>
  <c r="F28" i="6" s="1"/>
  <c r="D129" i="6"/>
  <c r="J77" i="5"/>
  <c r="K114" i="5"/>
  <c r="K10" i="5" s="1"/>
  <c r="K9" i="5" s="1"/>
  <c r="H93" i="5"/>
  <c r="L81" i="5"/>
  <c r="G694" i="6"/>
  <c r="G700" i="6"/>
  <c r="L25" i="6"/>
  <c r="S88" i="5"/>
  <c r="M567" i="6"/>
  <c r="H550" i="6"/>
  <c r="H712" i="6"/>
  <c r="N396" i="6"/>
  <c r="R89" i="5"/>
  <c r="R88" i="5" s="1"/>
  <c r="N114" i="5"/>
  <c r="M81" i="5"/>
  <c r="M585" i="6"/>
  <c r="K693" i="6"/>
  <c r="D740" i="6"/>
  <c r="L523" i="6"/>
  <c r="O441" i="6"/>
  <c r="H31" i="6"/>
  <c r="H21" i="6" s="1"/>
  <c r="E523" i="6"/>
  <c r="J585" i="6"/>
  <c r="L80" i="5"/>
  <c r="L11" i="5" s="1"/>
  <c r="D62" i="6"/>
  <c r="P64" i="6" s="1"/>
  <c r="E29" i="6"/>
  <c r="E28" i="6" s="1"/>
  <c r="N89" i="5"/>
  <c r="H116" i="5"/>
  <c r="H25" i="6"/>
  <c r="O14" i="5"/>
  <c r="H17" i="5"/>
  <c r="I700" i="6"/>
  <c r="H18" i="5"/>
  <c r="R15" i="5"/>
  <c r="R13" i="5" s="1"/>
  <c r="I34" i="6"/>
  <c r="P15" i="5"/>
  <c r="P12" i="5" s="1"/>
  <c r="E547" i="6"/>
  <c r="H708" i="6"/>
  <c r="H707" i="6" s="1"/>
  <c r="I588" i="6"/>
  <c r="N15" i="5"/>
  <c r="K567" i="6"/>
  <c r="K550" i="6"/>
  <c r="D569" i="6"/>
  <c r="D697" i="6"/>
  <c r="J567" i="6"/>
  <c r="J550" i="6"/>
  <c r="J581" i="6"/>
  <c r="J577" i="6" s="1"/>
  <c r="K499" i="6"/>
  <c r="M499" i="6"/>
  <c r="D100" i="6"/>
  <c r="D56" i="6"/>
  <c r="D742" i="6"/>
  <c r="E25" i="6"/>
  <c r="E15" i="6" s="1"/>
  <c r="F441" i="6"/>
  <c r="D236" i="6"/>
  <c r="D241" i="6"/>
  <c r="D178" i="6"/>
  <c r="D184" i="6"/>
  <c r="D251" i="6"/>
  <c r="D206" i="6"/>
  <c r="K546" i="6"/>
  <c r="I550" i="6"/>
  <c r="O396" i="6"/>
  <c r="L441" i="6"/>
  <c r="F737" i="6"/>
  <c r="M577" i="6"/>
  <c r="D578" i="6"/>
  <c r="M545" i="6"/>
  <c r="D571" i="6"/>
  <c r="D555" i="6"/>
  <c r="D570" i="6"/>
  <c r="M550" i="6"/>
  <c r="D551" i="6"/>
  <c r="D556" i="6"/>
  <c r="N546" i="6"/>
  <c r="J518" i="6"/>
  <c r="O523" i="6"/>
  <c r="D525" i="6"/>
  <c r="D131" i="6"/>
  <c r="D33" i="6"/>
  <c r="D175" i="6"/>
  <c r="D454" i="6"/>
  <c r="D165" i="6"/>
  <c r="H396" i="6"/>
  <c r="N19" i="6"/>
  <c r="E128" i="6"/>
  <c r="D128" i="6" s="1"/>
  <c r="D35" i="6"/>
  <c r="J25" i="6"/>
  <c r="E74" i="6"/>
  <c r="D38" i="6"/>
  <c r="D211" i="6"/>
  <c r="D221" i="6"/>
  <c r="D226" i="6"/>
  <c r="N25" i="6"/>
  <c r="E479" i="6"/>
  <c r="L479" i="6"/>
  <c r="H479" i="6"/>
  <c r="D500" i="6"/>
  <c r="D501" i="6"/>
  <c r="D114" i="6"/>
  <c r="D168" i="6"/>
  <c r="D50" i="6"/>
  <c r="G396" i="6"/>
  <c r="M441" i="6"/>
  <c r="M19" i="6"/>
  <c r="E291" i="6"/>
  <c r="D291" i="6" s="1"/>
  <c r="D266" i="6"/>
  <c r="D709" i="6"/>
  <c r="D584" i="6"/>
  <c r="M732" i="6"/>
  <c r="O732" i="6"/>
  <c r="N732" i="6"/>
  <c r="K579" i="6"/>
  <c r="D524" i="6"/>
  <c r="K523" i="6"/>
  <c r="F523" i="6"/>
  <c r="D482" i="6"/>
  <c r="D526" i="6"/>
  <c r="D480" i="6"/>
  <c r="H523" i="6"/>
  <c r="J24" i="6"/>
  <c r="F25" i="6"/>
  <c r="F15" i="6" s="1"/>
  <c r="G441" i="6"/>
  <c r="G518" i="6"/>
  <c r="D527" i="6"/>
  <c r="M523" i="6"/>
  <c r="J21" i="6"/>
  <c r="J11" i="6" s="1"/>
  <c r="J441" i="6"/>
  <c r="D548" i="6"/>
  <c r="O550" i="6"/>
  <c r="I567" i="6"/>
  <c r="F550" i="6"/>
  <c r="I544" i="6"/>
  <c r="D544" i="6" s="1"/>
  <c r="I545" i="6"/>
  <c r="O545" i="6"/>
  <c r="J547" i="6"/>
  <c r="D552" i="6"/>
  <c r="G545" i="6"/>
  <c r="F567" i="6"/>
  <c r="E567" i="6"/>
  <c r="L545" i="6"/>
  <c r="D121" i="6"/>
  <c r="N171" i="6"/>
  <c r="E68" i="6"/>
  <c r="D32" i="6"/>
  <c r="D30" i="6"/>
  <c r="D147" i="6"/>
  <c r="D137" i="6"/>
  <c r="O25" i="6"/>
  <c r="J737" i="6"/>
  <c r="L732" i="6"/>
  <c r="D701" i="6"/>
  <c r="D734" i="6"/>
  <c r="D710" i="6"/>
  <c r="I547" i="6"/>
  <c r="F545" i="6"/>
  <c r="F9" i="6" s="1"/>
  <c r="H547" i="6"/>
  <c r="N545" i="6"/>
  <c r="K547" i="6"/>
  <c r="O518" i="6"/>
  <c r="G523" i="6"/>
  <c r="L396" i="6"/>
  <c r="D447" i="6"/>
  <c r="D81" i="6"/>
  <c r="D74" i="6"/>
  <c r="H581" i="6"/>
  <c r="H577" i="6" s="1"/>
  <c r="H585" i="6"/>
  <c r="D606" i="6"/>
  <c r="D596" i="6"/>
  <c r="E81" i="6"/>
  <c r="E144" i="6"/>
  <c r="D144" i="6" s="1"/>
  <c r="D171" i="6"/>
  <c r="I518" i="6"/>
  <c r="D216" i="6"/>
  <c r="K518" i="6"/>
  <c r="H694" i="6"/>
  <c r="H693" i="6" s="1"/>
  <c r="H441" i="6"/>
  <c r="G479" i="6"/>
  <c r="F499" i="6"/>
  <c r="J499" i="6"/>
  <c r="D271" i="6"/>
  <c r="M546" i="6"/>
  <c r="D399" i="6"/>
  <c r="D459" i="6"/>
  <c r="D443" i="6"/>
  <c r="E499" i="6"/>
  <c r="D296" i="6"/>
  <c r="D411" i="6"/>
  <c r="D733" i="6"/>
  <c r="F732" i="6"/>
  <c r="D172" i="6"/>
  <c r="D406" i="6"/>
  <c r="E21" i="6"/>
  <c r="O479" i="6"/>
  <c r="L550" i="6"/>
  <c r="N577" i="6"/>
  <c r="G732" i="6"/>
  <c r="D87" i="6"/>
  <c r="D120" i="6"/>
  <c r="D123" i="6"/>
  <c r="E647" i="6"/>
  <c r="D647" i="6" s="1"/>
  <c r="D421" i="6"/>
  <c r="J396" i="6"/>
  <c r="E396" i="6"/>
  <c r="K396" i="6"/>
  <c r="D636" i="6"/>
  <c r="E441" i="6"/>
  <c r="I441" i="6"/>
  <c r="N737" i="6"/>
  <c r="D658" i="6"/>
  <c r="N479" i="6"/>
  <c r="I479" i="6"/>
  <c r="D483" i="6"/>
  <c r="N499" i="6"/>
  <c r="G499" i="6"/>
  <c r="F546" i="6"/>
  <c r="L546" i="6"/>
  <c r="D281" i="6"/>
  <c r="D286" i="6"/>
  <c r="J732" i="6"/>
  <c r="D736" i="6"/>
  <c r="K735" i="6"/>
  <c r="K732" i="6" s="1"/>
  <c r="H732" i="6"/>
  <c r="G581" i="6"/>
  <c r="G577" i="6" s="1"/>
  <c r="G585" i="6"/>
  <c r="F581" i="6"/>
  <c r="F577" i="6" s="1"/>
  <c r="F585" i="6"/>
  <c r="D616" i="6"/>
  <c r="E588" i="6"/>
  <c r="D653" i="6"/>
  <c r="O585" i="6"/>
  <c r="E545" i="6"/>
  <c r="F547" i="6"/>
  <c r="H546" i="6"/>
  <c r="D572" i="6"/>
  <c r="G547" i="6"/>
  <c r="H545" i="6"/>
  <c r="E546" i="6"/>
  <c r="K545" i="6"/>
  <c r="D522" i="6"/>
  <c r="H17" i="6"/>
  <c r="D17" i="6" s="1"/>
  <c r="F518" i="6"/>
  <c r="D519" i="6"/>
  <c r="D520" i="6"/>
  <c r="E518" i="6"/>
  <c r="L518" i="6"/>
  <c r="D521" i="6"/>
  <c r="D533" i="6"/>
  <c r="J523" i="6"/>
  <c r="H518" i="6"/>
  <c r="H499" i="6"/>
  <c r="D505" i="6"/>
  <c r="D464" i="6"/>
  <c r="L499" i="6"/>
  <c r="D506" i="6"/>
  <c r="G9" i="6"/>
  <c r="L19" i="6"/>
  <c r="J19" i="6"/>
  <c r="J9" i="6" s="1"/>
  <c r="K19" i="6"/>
  <c r="I396" i="6"/>
  <c r="M24" i="6"/>
  <c r="O21" i="6"/>
  <c r="O11" i="6" s="1"/>
  <c r="O19" i="6"/>
  <c r="D503" i="6"/>
  <c r="D401" i="6"/>
  <c r="F479" i="6"/>
  <c r="D481" i="6"/>
  <c r="D442" i="6"/>
  <c r="D397" i="6"/>
  <c r="M396" i="6"/>
  <c r="D400" i="6"/>
  <c r="O499" i="6"/>
  <c r="F10" i="6"/>
  <c r="D10" i="6" s="1"/>
  <c r="D20" i="6"/>
  <c r="E12" i="6"/>
  <c r="D12" i="6" s="1"/>
  <c r="D22" i="6"/>
  <c r="O28" i="6"/>
  <c r="O24" i="6"/>
  <c r="O14" i="6" s="1"/>
  <c r="D113" i="6"/>
  <c r="D194" i="6"/>
  <c r="D199" i="6"/>
  <c r="D256" i="6"/>
  <c r="D246" i="6"/>
  <c r="D276" i="6"/>
  <c r="D152" i="6"/>
  <c r="D189" i="6"/>
  <c r="D158" i="6"/>
  <c r="D231" i="6"/>
  <c r="D261" i="6"/>
  <c r="K479" i="6"/>
  <c r="O577" i="6"/>
  <c r="I732" i="6"/>
  <c r="J12" i="5"/>
  <c r="D138" i="6"/>
  <c r="E61" i="6"/>
  <c r="D61" i="6" s="1"/>
  <c r="H54" i="5"/>
  <c r="P81" i="5"/>
  <c r="D713" i="6"/>
  <c r="M16" i="5"/>
  <c r="I19" i="6"/>
  <c r="D15" i="6" l="1"/>
  <c r="D398" i="6"/>
  <c r="D396" i="6" s="1"/>
  <c r="L9" i="6"/>
  <c r="I21" i="6"/>
  <c r="I11" i="6" s="1"/>
  <c r="N543" i="6"/>
  <c r="D29" i="6"/>
  <c r="F21" i="6"/>
  <c r="F18" i="6" s="1"/>
  <c r="Q79" i="5"/>
  <c r="H79" i="5" s="1"/>
  <c r="Q81" i="5"/>
  <c r="E24" i="6"/>
  <c r="D34" i="6"/>
  <c r="K14" i="6"/>
  <c r="K577" i="6"/>
  <c r="K11" i="6"/>
  <c r="L21" i="6"/>
  <c r="L11" i="6" s="1"/>
  <c r="O9" i="6"/>
  <c r="O8" i="6" s="1"/>
  <c r="I24" i="6"/>
  <c r="L9" i="5"/>
  <c r="H77" i="5"/>
  <c r="Q13" i="5"/>
  <c r="D707" i="6"/>
  <c r="D708" i="6"/>
  <c r="H115" i="5"/>
  <c r="J28" i="6"/>
  <c r="G28" i="6"/>
  <c r="D441" i="6"/>
  <c r="U11" i="5"/>
  <c r="M9" i="6"/>
  <c r="H114" i="5"/>
  <c r="J10" i="5"/>
  <c r="P10" i="5"/>
  <c r="D164" i="6"/>
  <c r="G543" i="6"/>
  <c r="H80" i="5"/>
  <c r="M14" i="6"/>
  <c r="N88" i="5"/>
  <c r="K13" i="5"/>
  <c r="H14" i="5"/>
  <c r="P13" i="5"/>
  <c r="E693" i="6"/>
  <c r="H74" i="5"/>
  <c r="H78" i="5"/>
  <c r="S9" i="5"/>
  <c r="H11" i="5"/>
  <c r="P9" i="5"/>
  <c r="N11" i="6"/>
  <c r="O543" i="6"/>
  <c r="D694" i="6"/>
  <c r="D700" i="6"/>
  <c r="H90" i="5"/>
  <c r="G693" i="6"/>
  <c r="N28" i="6"/>
  <c r="R12" i="5"/>
  <c r="R9" i="5" s="1"/>
  <c r="H81" i="5"/>
  <c r="P88" i="5"/>
  <c r="H88" i="5" s="1"/>
  <c r="G24" i="6"/>
  <c r="G14" i="6" s="1"/>
  <c r="I585" i="6"/>
  <c r="I581" i="6"/>
  <c r="I577" i="6" s="1"/>
  <c r="M10" i="5"/>
  <c r="D712" i="6"/>
  <c r="K543" i="6"/>
  <c r="I28" i="6"/>
  <c r="N12" i="5"/>
  <c r="O13" i="5"/>
  <c r="N10" i="5"/>
  <c r="H89" i="5"/>
  <c r="O10" i="5"/>
  <c r="O9" i="5" s="1"/>
  <c r="N13" i="5"/>
  <c r="D479" i="6"/>
  <c r="D546" i="6"/>
  <c r="D25" i="6"/>
  <c r="H11" i="6"/>
  <c r="M543" i="6"/>
  <c r="J14" i="6"/>
  <c r="J8" i="6" s="1"/>
  <c r="G21" i="6"/>
  <c r="E19" i="6"/>
  <c r="D735" i="6"/>
  <c r="P732" i="6" s="1"/>
  <c r="D737" i="6"/>
  <c r="D545" i="6"/>
  <c r="I543" i="6"/>
  <c r="N9" i="6"/>
  <c r="L543" i="6"/>
  <c r="D550" i="6"/>
  <c r="E549" i="6"/>
  <c r="D549" i="6" s="1"/>
  <c r="D567" i="6"/>
  <c r="E11" i="6"/>
  <c r="D523" i="6"/>
  <c r="L24" i="6"/>
  <c r="L14" i="6" s="1"/>
  <c r="N18" i="6"/>
  <c r="J543" i="6"/>
  <c r="N14" i="6"/>
  <c r="D579" i="6"/>
  <c r="D518" i="6"/>
  <c r="D732" i="6"/>
  <c r="D499" i="6"/>
  <c r="D31" i="6"/>
  <c r="M11" i="6"/>
  <c r="M28" i="6"/>
  <c r="E581" i="6"/>
  <c r="E585" i="6"/>
  <c r="D588" i="6"/>
  <c r="F14" i="6"/>
  <c r="D547" i="6"/>
  <c r="F543" i="6"/>
  <c r="K9" i="6"/>
  <c r="H543" i="6"/>
  <c r="H9" i="6"/>
  <c r="K18" i="6"/>
  <c r="J18" i="6"/>
  <c r="O18" i="6"/>
  <c r="M15" i="5"/>
  <c r="H16" i="5"/>
  <c r="J9" i="5"/>
  <c r="I9" i="6"/>
  <c r="H24" i="6"/>
  <c r="H28" i="6"/>
  <c r="H10" i="5"/>
  <c r="I18" i="6" l="1"/>
  <c r="M8" i="6"/>
  <c r="E14" i="6"/>
  <c r="F11" i="6"/>
  <c r="E18" i="6"/>
  <c r="Q12" i="5"/>
  <c r="Q9" i="5" s="1"/>
  <c r="K8" i="6"/>
  <c r="L8" i="6"/>
  <c r="I14" i="6"/>
  <c r="I8" i="6" s="1"/>
  <c r="D21" i="6"/>
  <c r="D693" i="6"/>
  <c r="D28" i="6"/>
  <c r="L18" i="6"/>
  <c r="N9" i="5"/>
  <c r="D19" i="6"/>
  <c r="D585" i="6"/>
  <c r="E9" i="6"/>
  <c r="D9" i="6" s="1"/>
  <c r="G18" i="6"/>
  <c r="G11" i="6"/>
  <c r="G8" i="6" s="1"/>
  <c r="N8" i="6"/>
  <c r="F8" i="6"/>
  <c r="E543" i="6"/>
  <c r="D543" i="6" s="1"/>
  <c r="D24" i="6"/>
  <c r="M18" i="6"/>
  <c r="E577" i="6"/>
  <c r="D577" i="6" s="1"/>
  <c r="D581" i="6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4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32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70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0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0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3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<sst xmlns="http://schemas.openxmlformats.org/spreadsheetml/2006/main" count="1647" uniqueCount="451">
  <si>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</si>
  <si>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</si>
  <si>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</si>
  <si>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</si>
  <si>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</si>
  <si>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</si>
  <si>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</si>
  <si>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</si>
  <si>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</si>
  <si>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</si>
  <si>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</si>
  <si>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</si>
  <si>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</si>
  <si>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</si>
  <si>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</si>
  <si>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</si>
  <si>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</si>
  <si>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</si>
  <si>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</si>
  <si>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</si>
  <si>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</si>
  <si>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</si>
  <si>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</si>
  <si>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</si>
  <si>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</si>
  <si>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</si>
  <si>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</si>
  <si>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</si>
  <si>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</si>
  <si>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</si>
  <si>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</si>
  <si>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</si>
  <si>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</si>
  <si>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</si>
  <si>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</si>
  <si>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</si>
  <si>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</si>
  <si>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</si>
  <si>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</si>
  <si>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</si>
  <si>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</si>
  <si>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</si>
  <si>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</si>
  <si>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</si>
  <si>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</si>
  <si>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</si>
  <si>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</si>
  <si>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</si>
  <si>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</si>
  <si>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</si>
  <si>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</si>
  <si>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</si>
  <si>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</si>
  <si>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</si>
  <si>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</si>
  <si>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</si>
  <si>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</si>
  <si>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</si>
  <si>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</si>
  <si>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</si>
  <si>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</si>
  <si>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</si>
  <si>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</si>
  <si>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</si>
  <si>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</si>
  <si>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</si>
  <si>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</si>
  <si>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</si>
  <si>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</si>
  <si>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</si>
  <si>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</si>
  <si>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</si>
  <si>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</si>
  <si>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</si>
  <si>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</si>
  <si>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</si>
  <si>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</si>
  <si>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</si>
  <si>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</si>
  <si>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</si>
  <si>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</si>
  <si>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</si>
  <si>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</si>
  <si>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</si>
  <si>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</si>
  <si>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</si>
  <si>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</si>
  <si>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</si>
  <si>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</si>
  <si>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</si>
  <si>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</si>
  <si>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</si>
  <si>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</si>
  <si>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</si>
  <si>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</si>
  <si>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</si>
  <si>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</si>
  <si>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</si>
  <si>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</si>
  <si>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</si>
  <si>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</si>
  <si>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</si>
  <si>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</si>
  <si>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</si>
  <si>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</si>
  <si>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</si>
  <si>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</si>
  <si>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</si>
  <si>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</si>
  <si>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</si>
  <si>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</si>
  <si>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</si>
  <si>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</si>
  <si>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</si>
  <si>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</si>
  <si>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</si>
  <si>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</si>
  <si>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</si>
  <si>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</si>
  <si>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</si>
  <si>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</si>
  <si>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</si>
  <si>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</si>
  <si>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</si>
  <si>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</si>
  <si>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</si>
  <si>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</si>
  <si>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</si>
  <si>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</si>
  <si>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</si>
  <si>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</si>
  <si>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</si>
  <si>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</si>
  <si>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</si>
  <si>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</si>
  <si>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</si>
  <si>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</si>
  <si>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</si>
  <si>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</si>
  <si>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</si>
  <si>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</si>
  <si>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</si>
  <si>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</si>
  <si>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</si>
  <si>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</si>
  <si>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</si>
  <si>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</si>
  <si>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</si>
  <si>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</si>
  <si>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</si>
  <si>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</si>
  <si>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</si>
  <si>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</si>
  <si>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</si>
  <si>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</si>
  <si>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</si>
  <si>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</si>
  <si>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</si>
  <si>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</si>
  <si>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</si>
  <si>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</si>
  <si>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</si>
  <si>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</si>
  <si>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</si>
  <si>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</si>
  <si>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</si>
  <si>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</si>
  <si>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</si>
  <si>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</si>
  <si>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</si>
  <si>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</si>
  <si>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</si>
  <si>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</si>
  <si>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</si>
  <si>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</si>
  <si>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</si>
  <si>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</si>
  <si>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</si>
  <si>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</si>
  <si>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</si>
  <si>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</si>
  <si>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</si>
  <si>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</si>
  <si>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</si>
  <si>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</si>
  <si>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</si>
  <si>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</si>
  <si>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</si>
  <si>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</si>
  <si>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</si>
  <si>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</si>
  <si>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</si>
  <si>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</si>
  <si>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</si>
  <si>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</si>
  <si>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</si>
  <si>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</si>
  <si>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</si>
  <si>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</si>
  <si>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</si>
  <si>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</si>
  <si>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</si>
  <si>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</si>
  <si>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</si>
  <si>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</si>
  <si>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</si>
  <si>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</si>
  <si>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</si>
  <si>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</si>
  <si>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</si>
  <si>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</si>
  <si>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</si>
  <si>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</si>
  <si>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</si>
  <si>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</si>
  <si>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</si>
  <si>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</si>
  <si>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</si>
  <si>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</si>
  <si>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</si>
  <si>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</si>
  <si>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</si>
  <si>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</si>
  <si>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</si>
  <si>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</si>
  <si>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</si>
  <si>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</si>
  <si>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</si>
  <si>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</si>
  <si>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</si>
  <si>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</si>
  <si>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</si>
  <si>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</si>
  <si>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</si>
  <si>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</si>
  <si>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</si>
  <si>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</si>
  <si>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</si>
  <si>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</si>
  <si>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</si>
  <si>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</si>
  <si>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</si>
  <si>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</si>
  <si>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</si>
  <si>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</si>
  <si>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</si>
  <si>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</si>
  <si>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</si>
  <si>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</si>
  <si>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</si>
  <si>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</si>
  <si>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</si>
  <si>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</si>
  <si>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</si>
  <si>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</si>
  <si>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</si>
  <si>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</si>
  <si>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</si>
  <si>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</si>
  <si>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</si>
  <si>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</si>
  <si>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</si>
  <si>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</si>
  <si>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</si>
  <si>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</si>
  <si>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</si>
  <si>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</si>
  <si>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</si>
  <si>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</si>
  <si>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</si>
  <si>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</si>
  <si>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</si>
  <si>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</si>
  <si>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</si>
  <si>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</si>
  <si>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</si>
  <si>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</si>
  <si>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</si>
  <si>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</si>
  <si>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</si>
  <si>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</si>
  <si>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</si>
  <si>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</si>
  <si>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</si>
  <si>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</si>
  <si>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</si>
  <si>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</si>
  <si>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</si>
  <si>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</si>
  <si>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</si>
  <si>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</si>
  <si>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</si>
  <si>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</si>
  <si>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</si>
  <si>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</si>
  <si>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</si>
  <si>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</si>
  <si>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</si>
  <si>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</si>
  <si>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</si>
  <si>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</si>
  <si>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</si>
  <si>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</si>
  <si>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</si>
  <si>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</si>
  <si>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</si>
  <si>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</si>
  <si>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</si>
  <si>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</si>
  <si>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</si>
  <si>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</si>
  <si>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</si>
  <si>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</si>
  <si>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</si>
  <si>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</si>
  <si>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</si>
  <si>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</si>
  <si>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</si>
  <si>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</si>
  <si>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</si>
  <si>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</si>
  <si>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</si>
  <si>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</si>
  <si>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</si>
  <si>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</si>
  <si>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</si>
  <si>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</si>
  <si>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</si>
  <si>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</si>
  <si>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</si>
  <si>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</si>
  <si>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</si>
  <si>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</si>
  <si>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</si>
  <si>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</si>
  <si>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</si>
  <si>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</si>
  <si>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</si>
  <si>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</si>
  <si>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</si>
  <si>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</si>
  <si>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</si>
  <si>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</si>
  <si>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</si>
  <si>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</si>
  <si>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</si>
  <si>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</si>
  <si>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</si>
  <si>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</si>
  <si>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</si>
  <si>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</si>
  <si>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</si>
  <si>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</si>
  <si>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</si>
  <si>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</si>
  <si>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</si>
  <si>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</si>
  <si>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</si>
  <si>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</si>
  <si>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</si>
  <si>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</si>
  <si>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</si>
  <si>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</si>
  <si>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</si>
  <si>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</si>
  <si>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</si>
  <si>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</si>
  <si>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</si>
  <si>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</si>
  <si>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</si>
  <si>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</si>
  <si>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</si>
  <si>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</si>
  <si>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</si>
  <si>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</si>
  <si>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</si>
  <si>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</si>
  <si>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</si>
  <si>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</si>
  <si>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</si>
  <si>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</si>
  <si>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</si>
  <si>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</si>
  <si>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</si>
  <si>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</si>
  <si>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</si>
  <si>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</si>
  <si>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</si>
  <si>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</si>
  <si>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</si>
  <si>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</si>
  <si>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</si>
  <si>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</si>
  <si>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</si>
  <si>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</si>
  <si>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</si>
  <si>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</si>
  <si>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</si>
  <si>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</si>
  <si>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</si>
  <si>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</si>
  <si>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</si>
  <si>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</si>
  <si>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</si>
  <si>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</si>
  <si>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</si>
  <si>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</si>
  <si>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</si>
  <si>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</si>
  <si>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</si>
  <si>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</si>
  <si>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</si>
  <si>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</si>
  <si>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</si>
  <si>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</si>
  <si>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</si>
  <si>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</si>
  <si>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</si>
  <si>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</si>
  <si>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</si>
  <si>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</si>
  <si>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</si>
  <si>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</si>
  <si>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</si>
  <si>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</si>
  <si>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</si>
  <si>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</si>
  <si>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</si>
  <si>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</si>
  <si>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</si>
  <si>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</si>
  <si>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</si>
  <si>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</si>
  <si>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</si>
  <si>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</si>
  <si>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</si>
  <si>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</si>
  <si>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</si>
  <si>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</si>
  <si>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</si>
  <si>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</si>
  <si>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</si>
  <si>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</si>
  <si>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</si>
  <si>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</si>
  <si>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</si>
  <si>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</si>
  <si>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</si>
  <si>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</si>
  <si>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</si>
  <si>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Приложение № 3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</si>
</sst>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5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20" fillId="0" borderId="0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24" t="s">
        <v>310</v>
      </c>
      <c r="P1" s="124"/>
      <c r="Q1" s="124"/>
      <c r="R1" s="124"/>
      <c r="S1" s="124"/>
      <c r="T1" s="9"/>
    </row>
    <row r="2" spans="1:21" ht="35.25" customHeight="1" x14ac:dyDescent="0.25">
      <c r="B2" s="7"/>
      <c r="O2" s="124" t="s">
        <v>311</v>
      </c>
      <c r="P2" s="124"/>
      <c r="Q2" s="124"/>
      <c r="R2" s="124"/>
      <c r="S2" s="124"/>
      <c r="T2" s="9"/>
    </row>
    <row r="3" spans="1:21" ht="17.25" customHeight="1" x14ac:dyDescent="0.25">
      <c r="B3" s="125" t="s">
        <v>0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</row>
    <row r="4" spans="1:21" ht="16.5" customHeight="1" x14ac:dyDescent="0.25">
      <c r="B4" s="126" t="s">
        <v>1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</row>
    <row r="5" spans="1:21" ht="3" customHeight="1" x14ac:dyDescent="0.25">
      <c r="B5" s="11"/>
      <c r="M5" s="12"/>
      <c r="N5" s="33"/>
    </row>
    <row r="6" spans="1:21" ht="53.25" customHeight="1" x14ac:dyDescent="0.2">
      <c r="A6" s="121" t="s">
        <v>25</v>
      </c>
      <c r="B6" s="121" t="s">
        <v>93</v>
      </c>
      <c r="C6" s="121" t="s">
        <v>129</v>
      </c>
      <c r="D6" s="121" t="s">
        <v>2</v>
      </c>
      <c r="E6" s="121"/>
      <c r="F6" s="121"/>
      <c r="G6" s="121"/>
      <c r="H6" s="114" t="s">
        <v>3</v>
      </c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6"/>
    </row>
    <row r="7" spans="1:21" x14ac:dyDescent="0.2">
      <c r="A7" s="121"/>
      <c r="B7" s="121"/>
      <c r="C7" s="121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0" t="s">
        <v>26</v>
      </c>
      <c r="B9" s="110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0"/>
      <c r="B10" s="110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0"/>
      <c r="B11" s="110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0"/>
      <c r="B12" s="110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7" t="s">
        <v>30</v>
      </c>
      <c r="B13" s="110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2"/>
      <c r="B14" s="110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3"/>
      <c r="B15" s="110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8" t="s">
        <v>235</v>
      </c>
      <c r="B16" s="108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3"/>
      <c r="B17" s="113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97" t="s">
        <v>118</v>
      </c>
      <c r="B43" s="97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99"/>
      <c r="B44" s="99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0" t="s">
        <v>33</v>
      </c>
      <c r="B73" s="110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0"/>
      <c r="B74" s="120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0" t="s">
        <v>39</v>
      </c>
      <c r="B77" s="117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0"/>
      <c r="B78" s="118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0"/>
      <c r="B79" s="118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09"/>
      <c r="B80" s="119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8" t="s">
        <v>40</v>
      </c>
      <c r="B81" s="97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09"/>
      <c r="B82" s="111"/>
      <c r="C82" s="47" t="s">
        <v>84</v>
      </c>
      <c r="D82" s="43" t="s">
        <v>14</v>
      </c>
      <c r="E82" s="43" t="s">
        <v>23</v>
      </c>
      <c r="F82" s="104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09"/>
      <c r="B83" s="111"/>
      <c r="C83" s="47" t="s">
        <v>89</v>
      </c>
      <c r="D83" s="43" t="s">
        <v>47</v>
      </c>
      <c r="E83" s="43" t="s">
        <v>23</v>
      </c>
      <c r="F83" s="105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09"/>
      <c r="B84" s="112"/>
      <c r="C84" s="47" t="s">
        <v>86</v>
      </c>
      <c r="D84" s="43" t="s">
        <v>48</v>
      </c>
      <c r="E84" s="43" t="s">
        <v>23</v>
      </c>
      <c r="F84" s="105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8" t="s">
        <v>133</v>
      </c>
      <c r="B85" s="108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8"/>
      <c r="B86" s="108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0" t="s">
        <v>31</v>
      </c>
      <c r="B88" s="110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0"/>
      <c r="B89" s="110"/>
      <c r="C89" s="42" t="s">
        <v>89</v>
      </c>
      <c r="D89" s="43" t="s">
        <v>47</v>
      </c>
      <c r="E89" s="56" t="s">
        <v>244</v>
      </c>
      <c r="F89" s="106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0"/>
      <c r="B90" s="110"/>
      <c r="C90" s="47" t="s">
        <v>84</v>
      </c>
      <c r="D90" s="43" t="s">
        <v>14</v>
      </c>
      <c r="E90" s="56" t="s">
        <v>244</v>
      </c>
      <c r="F90" s="107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97" t="s">
        <v>34</v>
      </c>
      <c r="B91" s="97" t="s">
        <v>122</v>
      </c>
      <c r="C91" s="47" t="s">
        <v>84</v>
      </c>
      <c r="D91" s="43" t="s">
        <v>14</v>
      </c>
      <c r="E91" s="43" t="s">
        <v>35</v>
      </c>
      <c r="F91" s="104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98"/>
      <c r="B92" s="98"/>
      <c r="C92" s="47" t="s">
        <v>84</v>
      </c>
      <c r="D92" s="43" t="s">
        <v>14</v>
      </c>
      <c r="E92" s="43" t="s">
        <v>49</v>
      </c>
      <c r="F92" s="104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98"/>
      <c r="B93" s="98"/>
      <c r="C93" s="47" t="s">
        <v>89</v>
      </c>
      <c r="D93" s="43" t="s">
        <v>47</v>
      </c>
      <c r="E93" s="43" t="s">
        <v>35</v>
      </c>
      <c r="F93" s="104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99"/>
      <c r="B94" s="99"/>
      <c r="C94" s="47" t="s">
        <v>89</v>
      </c>
      <c r="D94" s="43" t="s">
        <v>47</v>
      </c>
      <c r="E94" s="43" t="s">
        <v>49</v>
      </c>
      <c r="F94" s="104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97" t="s">
        <v>267</v>
      </c>
      <c r="B103" s="97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98"/>
      <c r="B104" s="98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98"/>
      <c r="B105" s="98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99"/>
      <c r="B106" s="99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97" t="s">
        <v>282</v>
      </c>
      <c r="B109" s="97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99"/>
      <c r="B110" s="99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97" t="s">
        <v>284</v>
      </c>
      <c r="B111" s="97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99"/>
      <c r="B112" s="99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0" t="s">
        <v>42</v>
      </c>
      <c r="B113" s="96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0"/>
      <c r="B114" s="96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8" t="s">
        <v>334</v>
      </c>
      <c r="B115" s="100" t="s">
        <v>144</v>
      </c>
      <c r="C115" s="103" t="s">
        <v>84</v>
      </c>
      <c r="D115" s="95" t="s">
        <v>14</v>
      </c>
      <c r="E115" s="95" t="s">
        <v>41</v>
      </c>
      <c r="F115" s="105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8"/>
      <c r="B116" s="101"/>
      <c r="C116" s="103"/>
      <c r="D116" s="95"/>
      <c r="E116" s="95"/>
      <c r="F116" s="105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8"/>
      <c r="B117" s="102"/>
      <c r="C117" s="103"/>
      <c r="D117" s="95"/>
      <c r="E117" s="95"/>
      <c r="F117" s="105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97" t="s">
        <v>143</v>
      </c>
      <c r="B118" s="97" t="s">
        <v>56</v>
      </c>
      <c r="C118" s="108" t="s">
        <v>84</v>
      </c>
      <c r="D118" s="95" t="s">
        <v>14</v>
      </c>
      <c r="E118" s="95" t="s">
        <v>41</v>
      </c>
      <c r="F118" s="104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98"/>
      <c r="B119" s="98"/>
      <c r="C119" s="108"/>
      <c r="D119" s="95"/>
      <c r="E119" s="95"/>
      <c r="F119" s="104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99"/>
      <c r="B120" s="99"/>
      <c r="C120" s="108"/>
      <c r="D120" s="95"/>
      <c r="E120" s="95"/>
      <c r="F120" s="104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48"/>
  <sheetViews>
    <sheetView tabSelected="1" view="pageBreakPreview" zoomScale="70" zoomScaleNormal="85" zoomScaleSheetLayoutView="70" workbookViewId="0">
      <pane xSplit="2" ySplit="7" topLeftCell="C11" activePane="bottomRight" state="frozen"/>
      <selection pane="topRight" activeCell="C1" sqref="C1"/>
      <selection pane="bottomLeft" activeCell="A8" sqref="A8"/>
      <selection pane="bottomRight" activeCell="L2" sqref="L2:O2"/>
    </sheetView>
  </sheetViews>
  <sheetFormatPr defaultColWidth="9.140625" defaultRowHeight="12.75" x14ac:dyDescent="0.2"/>
  <cols>
    <col min="1" max="1" width="35.42578125" style="61" customWidth="1"/>
    <col min="2" max="2" width="54.28515625" style="62" customWidth="1"/>
    <col min="3" max="3" width="27.5703125" style="61" customWidth="1"/>
    <col min="4" max="4" width="17" style="65" customWidth="1"/>
    <col min="5" max="5" width="12.5703125" style="65" customWidth="1"/>
    <col min="6" max="6" width="11.42578125" style="65" customWidth="1"/>
    <col min="7" max="7" width="11.85546875" style="65" customWidth="1"/>
    <col min="8" max="8" width="13.140625" style="65" customWidth="1"/>
    <col min="9" max="9" width="11.42578125" style="65" customWidth="1"/>
    <col min="10" max="10" width="14" style="65" customWidth="1"/>
    <col min="11" max="11" width="13.42578125" style="65" bestFit="1" customWidth="1"/>
    <col min="12" max="12" width="15.85546875" style="65" customWidth="1"/>
    <col min="13" max="13" width="14.7109375" style="65" customWidth="1"/>
    <col min="14" max="14" width="13.140625" style="65" customWidth="1"/>
    <col min="15" max="15" width="12.85546875" style="65" customWidth="1"/>
    <col min="16" max="17" width="23.140625" style="65" hidden="1" customWidth="1"/>
    <col min="18" max="18" width="9.140625" style="65" hidden="1" customWidth="1"/>
    <col min="19" max="19" width="15.42578125" style="65" hidden="1" customWidth="1"/>
    <col min="20" max="20" width="20.5703125" style="65" hidden="1" customWidth="1"/>
    <col min="21" max="21" width="15.140625" style="65" hidden="1" customWidth="1"/>
    <col min="22" max="22" width="0" style="65" hidden="1" customWidth="1"/>
    <col min="23" max="23" width="17.7109375" style="65" customWidth="1"/>
    <col min="24" max="24" width="13.28515625" style="65" customWidth="1"/>
    <col min="25" max="16384" width="9.140625" style="65"/>
  </cols>
  <sheetData>
    <row r="1" spans="1:25" ht="40.5" customHeight="1" x14ac:dyDescent="0.2">
      <c r="D1" s="63"/>
      <c r="E1" s="64"/>
      <c r="G1" s="64"/>
      <c r="L1" s="124" t="s">
        <v>450</v>
      </c>
      <c r="M1" s="124"/>
      <c r="N1" s="124"/>
      <c r="O1" s="124"/>
    </row>
    <row r="2" spans="1:25" ht="27.75" customHeight="1" x14ac:dyDescent="0.2">
      <c r="E2" s="64"/>
      <c r="G2" s="64"/>
      <c r="I2" s="66"/>
      <c r="K2" s="65" t="s">
        <v>403</v>
      </c>
      <c r="L2" s="124" t="s">
        <v>311</v>
      </c>
      <c r="M2" s="124"/>
      <c r="N2" s="124"/>
      <c r="O2" s="124"/>
    </row>
    <row r="3" spans="1:25" ht="18.75" x14ac:dyDescent="0.3">
      <c r="B3" s="142" t="s">
        <v>368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25" x14ac:dyDescent="0.2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67"/>
      <c r="L4" s="67"/>
      <c r="M4" s="68"/>
    </row>
    <row r="5" spans="1:25" ht="20.25" customHeight="1" x14ac:dyDescent="0.2">
      <c r="A5" s="143" t="s">
        <v>25</v>
      </c>
      <c r="B5" s="121" t="s">
        <v>93</v>
      </c>
      <c r="C5" s="121" t="s">
        <v>8</v>
      </c>
      <c r="D5" s="121" t="s">
        <v>343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</row>
    <row r="6" spans="1:25" ht="49.5" customHeight="1" x14ac:dyDescent="0.2">
      <c r="A6" s="143"/>
      <c r="B6" s="121"/>
      <c r="C6" s="121"/>
      <c r="D6" s="58" t="s">
        <v>9</v>
      </c>
      <c r="E6" s="58" t="s">
        <v>16</v>
      </c>
      <c r="F6" s="58" t="s">
        <v>24</v>
      </c>
      <c r="G6" s="58" t="s">
        <v>18</v>
      </c>
      <c r="H6" s="58" t="s">
        <v>19</v>
      </c>
      <c r="I6" s="58" t="s">
        <v>20</v>
      </c>
      <c r="J6" s="58" t="s">
        <v>21</v>
      </c>
      <c r="K6" s="58" t="s">
        <v>251</v>
      </c>
      <c r="L6" s="58" t="s">
        <v>294</v>
      </c>
      <c r="M6" s="58" t="s">
        <v>295</v>
      </c>
      <c r="N6" s="58" t="s">
        <v>296</v>
      </c>
      <c r="O6" s="58" t="s">
        <v>297</v>
      </c>
    </row>
    <row r="7" spans="1:25" ht="16.5" customHeight="1" x14ac:dyDescent="0.2">
      <c r="A7" s="48">
        <v>1</v>
      </c>
      <c r="B7" s="58">
        <v>2</v>
      </c>
      <c r="C7" s="48">
        <v>3</v>
      </c>
      <c r="D7" s="58">
        <v>4</v>
      </c>
      <c r="E7" s="48">
        <v>5</v>
      </c>
      <c r="F7" s="58">
        <v>6</v>
      </c>
      <c r="G7" s="48">
        <v>7</v>
      </c>
      <c r="H7" s="58">
        <v>8</v>
      </c>
      <c r="I7" s="48">
        <v>9</v>
      </c>
      <c r="J7" s="58">
        <v>10</v>
      </c>
      <c r="K7" s="58">
        <v>11</v>
      </c>
      <c r="L7" s="58">
        <v>12</v>
      </c>
      <c r="M7" s="58">
        <v>13</v>
      </c>
      <c r="N7" s="58">
        <v>14</v>
      </c>
      <c r="O7" s="58">
        <v>15</v>
      </c>
    </row>
    <row r="8" spans="1:25" ht="15.75" x14ac:dyDescent="0.2">
      <c r="A8" s="145" t="s">
        <v>26</v>
      </c>
      <c r="B8" s="144" t="s">
        <v>344</v>
      </c>
      <c r="C8" s="69" t="s">
        <v>7</v>
      </c>
      <c r="D8" s="2">
        <f>D9+D11+D14+D17</f>
        <v>17857261.866999999</v>
      </c>
      <c r="E8" s="2">
        <f>E9+E11+E14+E17</f>
        <v>512896.39999999997</v>
      </c>
      <c r="F8" s="2">
        <f t="shared" ref="F8:O8" si="0">F9+F11+F14+F17</f>
        <v>382692.8</v>
      </c>
      <c r="G8" s="2">
        <f t="shared" si="0"/>
        <v>383942.1</v>
      </c>
      <c r="H8" s="2">
        <f>H9+H11+H14+H17</f>
        <v>456612.2</v>
      </c>
      <c r="I8" s="2">
        <f t="shared" si="0"/>
        <v>513509.20000000007</v>
      </c>
      <c r="J8" s="2">
        <f>J9+J11+J14+J17</f>
        <v>1405769.2999999998</v>
      </c>
      <c r="K8" s="2">
        <f>K9+K11+K14+K17</f>
        <v>2236267.5920000002</v>
      </c>
      <c r="L8" s="2">
        <f>L9+L11+L14+L17</f>
        <v>3777326.5999999996</v>
      </c>
      <c r="M8" s="2">
        <f>M9+M11+M14+M17</f>
        <v>4140601.5750000002</v>
      </c>
      <c r="N8" s="2">
        <f t="shared" si="0"/>
        <v>3183901</v>
      </c>
      <c r="O8" s="2">
        <f t="shared" si="0"/>
        <v>863743.1</v>
      </c>
      <c r="P8" s="70"/>
      <c r="Q8" s="63"/>
      <c r="W8" s="63"/>
      <c r="X8" s="63"/>
      <c r="Y8" s="63"/>
    </row>
    <row r="9" spans="1:25" ht="31.5" x14ac:dyDescent="0.2">
      <c r="A9" s="145"/>
      <c r="B9" s="144"/>
      <c r="C9" s="71" t="s">
        <v>80</v>
      </c>
      <c r="D9" s="1">
        <f>E9+F9+G9+H9+I9+J9+K9+L9+M9+N9+O9</f>
        <v>213817.09999999998</v>
      </c>
      <c r="E9" s="1">
        <f t="shared" ref="E9:O9" si="1">E19+E519+E545+E578+E733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5" x14ac:dyDescent="0.2">
      <c r="A10" s="145"/>
      <c r="B10" s="144"/>
      <c r="C10" s="72" t="s">
        <v>81</v>
      </c>
      <c r="D10" s="1">
        <f t="shared" ref="D10:D11" si="2">E10+F10+G10+H10+I10+J10+K10+L10+M10+N10+O10</f>
        <v>98793.9</v>
      </c>
      <c r="E10" s="73">
        <f t="shared" ref="E10:O10" si="3">E20</f>
        <v>98793.9</v>
      </c>
      <c r="F10" s="73">
        <f t="shared" si="3"/>
        <v>0</v>
      </c>
      <c r="G10" s="73">
        <f t="shared" si="3"/>
        <v>0</v>
      </c>
      <c r="H10" s="73">
        <f t="shared" si="3"/>
        <v>0</v>
      </c>
      <c r="I10" s="73">
        <f t="shared" si="3"/>
        <v>0</v>
      </c>
      <c r="J10" s="73">
        <f t="shared" si="3"/>
        <v>0</v>
      </c>
      <c r="K10" s="73">
        <f t="shared" si="3"/>
        <v>0</v>
      </c>
      <c r="L10" s="73">
        <f t="shared" si="3"/>
        <v>0</v>
      </c>
      <c r="M10" s="73">
        <f t="shared" si="3"/>
        <v>0</v>
      </c>
      <c r="N10" s="73">
        <f t="shared" si="3"/>
        <v>0</v>
      </c>
      <c r="O10" s="73">
        <f t="shared" si="3"/>
        <v>0</v>
      </c>
    </row>
    <row r="11" spans="1:25" ht="31.5" x14ac:dyDescent="0.2">
      <c r="A11" s="146"/>
      <c r="B11" s="144"/>
      <c r="C11" s="71" t="s">
        <v>69</v>
      </c>
      <c r="D11" s="1">
        <f t="shared" si="2"/>
        <v>13236429.409999998</v>
      </c>
      <c r="E11" s="1">
        <f t="shared" ref="E11:O11" si="4">E21+E520+E546+E579+E734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3229486.8</v>
      </c>
      <c r="M11" s="1">
        <f t="shared" si="4"/>
        <v>3781978.6</v>
      </c>
      <c r="N11" s="1">
        <f t="shared" si="4"/>
        <v>2828376.5</v>
      </c>
      <c r="O11" s="1">
        <f t="shared" si="4"/>
        <v>520121.2</v>
      </c>
    </row>
    <row r="12" spans="1:25" ht="31.5" x14ac:dyDescent="0.2">
      <c r="A12" s="146"/>
      <c r="B12" s="144"/>
      <c r="C12" s="72" t="s">
        <v>79</v>
      </c>
      <c r="D12" s="1">
        <f t="shared" ref="D12:D19" si="5">E12+F12+G12+H12+I12+J12+K12+L12+M12+N12+O12</f>
        <v>43117.100000000006</v>
      </c>
      <c r="E12" s="73">
        <f>E22</f>
        <v>43117.100000000006</v>
      </c>
      <c r="F12" s="73">
        <f t="shared" ref="F12:K12" si="6">F22</f>
        <v>0</v>
      </c>
      <c r="G12" s="73">
        <f t="shared" si="6"/>
        <v>0</v>
      </c>
      <c r="H12" s="73">
        <f t="shared" si="6"/>
        <v>0</v>
      </c>
      <c r="I12" s="73">
        <f t="shared" si="6"/>
        <v>0</v>
      </c>
      <c r="J12" s="73">
        <f t="shared" si="6"/>
        <v>0</v>
      </c>
      <c r="K12" s="73">
        <f t="shared" si="6"/>
        <v>0</v>
      </c>
      <c r="L12" s="73">
        <f t="shared" ref="L12:O12" si="7">L22</f>
        <v>0</v>
      </c>
      <c r="M12" s="73">
        <f t="shared" si="7"/>
        <v>0</v>
      </c>
      <c r="N12" s="73">
        <f t="shared" si="7"/>
        <v>0</v>
      </c>
      <c r="O12" s="73">
        <f t="shared" si="7"/>
        <v>0</v>
      </c>
      <c r="R12" s="63"/>
    </row>
    <row r="13" spans="1:25" ht="31.5" x14ac:dyDescent="0.2">
      <c r="A13" s="146"/>
      <c r="B13" s="144"/>
      <c r="C13" s="72" t="s">
        <v>81</v>
      </c>
      <c r="D13" s="73">
        <f t="shared" si="5"/>
        <v>85806.399999999994</v>
      </c>
      <c r="E13" s="73">
        <f t="shared" ref="E13:L13" si="8">E23</f>
        <v>20580.5</v>
      </c>
      <c r="F13" s="73">
        <f t="shared" si="8"/>
        <v>0</v>
      </c>
      <c r="G13" s="73">
        <f t="shared" si="8"/>
        <v>0</v>
      </c>
      <c r="H13" s="73">
        <f t="shared" si="8"/>
        <v>0</v>
      </c>
      <c r="I13" s="73">
        <f t="shared" si="8"/>
        <v>0</v>
      </c>
      <c r="J13" s="73">
        <f t="shared" si="8"/>
        <v>0</v>
      </c>
      <c r="K13" s="73">
        <f t="shared" si="8"/>
        <v>0</v>
      </c>
      <c r="L13" s="73">
        <f t="shared" si="8"/>
        <v>21808</v>
      </c>
      <c r="M13" s="73">
        <f>M23+M580</f>
        <v>43417.899999999994</v>
      </c>
      <c r="N13" s="73">
        <f>N23+N580</f>
        <v>0</v>
      </c>
      <c r="O13" s="73">
        <f>O23+O580</f>
        <v>0</v>
      </c>
    </row>
    <row r="14" spans="1:25" ht="31.5" x14ac:dyDescent="0.2">
      <c r="A14" s="146"/>
      <c r="B14" s="144"/>
      <c r="C14" s="71" t="s">
        <v>65</v>
      </c>
      <c r="D14" s="1">
        <f t="shared" si="5"/>
        <v>4376750.3569999998</v>
      </c>
      <c r="E14" s="1">
        <f t="shared" ref="E14:O14" si="9">E24+E521+E547+E581+E735</f>
        <v>325404.89999999997</v>
      </c>
      <c r="F14" s="1">
        <f t="shared" si="9"/>
        <v>364692.8</v>
      </c>
      <c r="G14" s="1">
        <f t="shared" si="9"/>
        <v>356065.3</v>
      </c>
      <c r="H14" s="1">
        <f t="shared" si="9"/>
        <v>405742.4</v>
      </c>
      <c r="I14" s="1">
        <f t="shared" si="9"/>
        <v>308074.40000000002</v>
      </c>
      <c r="J14" s="1">
        <f t="shared" si="9"/>
        <v>403716.9</v>
      </c>
      <c r="K14" s="1">
        <f t="shared" si="9"/>
        <v>607444.48200000008</v>
      </c>
      <c r="L14" s="1">
        <f t="shared" si="9"/>
        <v>547839.79999999993</v>
      </c>
      <c r="M14" s="1">
        <f t="shared" si="9"/>
        <v>358622.97499999998</v>
      </c>
      <c r="N14" s="1">
        <f t="shared" si="9"/>
        <v>355524.5</v>
      </c>
      <c r="O14" s="1">
        <f t="shared" si="9"/>
        <v>343621.89999999997</v>
      </c>
    </row>
    <row r="15" spans="1:25" ht="31.5" x14ac:dyDescent="0.2">
      <c r="A15" s="146"/>
      <c r="B15" s="144"/>
      <c r="C15" s="72" t="s">
        <v>79</v>
      </c>
      <c r="D15" s="1">
        <f t="shared" si="5"/>
        <v>85206.799999999988</v>
      </c>
      <c r="E15" s="73">
        <f>E25+E582+E548</f>
        <v>48729.7</v>
      </c>
      <c r="F15" s="73">
        <f>F25+F582+F548</f>
        <v>30651</v>
      </c>
      <c r="G15" s="73">
        <f>G42+G560</f>
        <v>5127.3999999999996</v>
      </c>
      <c r="H15" s="73">
        <v>0</v>
      </c>
      <c r="I15" s="73">
        <f>I25</f>
        <v>698.7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</row>
    <row r="16" spans="1:25" ht="36.75" customHeight="1" x14ac:dyDescent="0.2">
      <c r="A16" s="146"/>
      <c r="B16" s="144"/>
      <c r="C16" s="74" t="s">
        <v>449</v>
      </c>
      <c r="D16" s="73">
        <f t="shared" si="5"/>
        <v>13834.5</v>
      </c>
      <c r="E16" s="73">
        <f t="shared" ref="E16:K16" si="10">E26</f>
        <v>0</v>
      </c>
      <c r="F16" s="73">
        <f t="shared" si="10"/>
        <v>0</v>
      </c>
      <c r="G16" s="73">
        <f t="shared" si="10"/>
        <v>0</v>
      </c>
      <c r="H16" s="73">
        <f t="shared" si="10"/>
        <v>0</v>
      </c>
      <c r="I16" s="73">
        <f t="shared" si="10"/>
        <v>0</v>
      </c>
      <c r="J16" s="73">
        <f t="shared" si="10"/>
        <v>0</v>
      </c>
      <c r="K16" s="73">
        <f t="shared" si="10"/>
        <v>0</v>
      </c>
      <c r="L16" s="73">
        <f>L26</f>
        <v>1392</v>
      </c>
      <c r="M16" s="73">
        <f>M26+M583</f>
        <v>12442.5</v>
      </c>
      <c r="N16" s="73">
        <f>N26+N583</f>
        <v>0</v>
      </c>
      <c r="O16" s="73">
        <f>O26+O583</f>
        <v>0</v>
      </c>
      <c r="P16" s="73">
        <f t="shared" ref="P16:V16" si="11">P26</f>
        <v>0</v>
      </c>
      <c r="Q16" s="73">
        <f t="shared" si="11"/>
        <v>0</v>
      </c>
      <c r="R16" s="73">
        <f t="shared" si="11"/>
        <v>0</v>
      </c>
      <c r="S16" s="73">
        <f t="shared" si="11"/>
        <v>0</v>
      </c>
      <c r="T16" s="73">
        <f t="shared" si="11"/>
        <v>0</v>
      </c>
      <c r="U16" s="73">
        <f t="shared" si="11"/>
        <v>0</v>
      </c>
      <c r="V16" s="73">
        <f t="shared" si="11"/>
        <v>0</v>
      </c>
    </row>
    <row r="17" spans="1:21" ht="17.25" customHeight="1" x14ac:dyDescent="0.2">
      <c r="A17" s="146"/>
      <c r="B17" s="144"/>
      <c r="C17" s="71" t="s">
        <v>13</v>
      </c>
      <c r="D17" s="1">
        <f t="shared" si="5"/>
        <v>30265</v>
      </c>
      <c r="E17" s="1">
        <f>E522</f>
        <v>20000</v>
      </c>
      <c r="F17" s="1">
        <f t="shared" ref="F17:K17" si="12">F522</f>
        <v>3000</v>
      </c>
      <c r="G17" s="1">
        <f t="shared" si="12"/>
        <v>1600</v>
      </c>
      <c r="H17" s="1">
        <f t="shared" si="12"/>
        <v>3453.6</v>
      </c>
      <c r="I17" s="1">
        <f t="shared" si="12"/>
        <v>2211.4</v>
      </c>
      <c r="J17" s="1">
        <f t="shared" si="12"/>
        <v>0</v>
      </c>
      <c r="K17" s="1">
        <f t="shared" si="12"/>
        <v>0</v>
      </c>
      <c r="L17" s="1">
        <f>L522</f>
        <v>0</v>
      </c>
      <c r="M17" s="1">
        <f>M522</f>
        <v>0</v>
      </c>
      <c r="N17" s="1">
        <f>N522</f>
        <v>0</v>
      </c>
      <c r="O17" s="1">
        <f>O522</f>
        <v>0</v>
      </c>
    </row>
    <row r="18" spans="1:21" ht="15.75" x14ac:dyDescent="0.2">
      <c r="A18" s="117" t="s">
        <v>27</v>
      </c>
      <c r="B18" s="117" t="s">
        <v>28</v>
      </c>
      <c r="C18" s="75" t="s">
        <v>7</v>
      </c>
      <c r="D18" s="2">
        <f t="shared" si="5"/>
        <v>13164419.630000001</v>
      </c>
      <c r="E18" s="2">
        <f>E19+E21+E24+E27</f>
        <v>218606.2</v>
      </c>
      <c r="F18" s="2">
        <f t="shared" ref="F18:K18" si="13">F19+F21+F24+F27</f>
        <v>51837.9</v>
      </c>
      <c r="G18" s="2">
        <f t="shared" si="13"/>
        <v>71967.7</v>
      </c>
      <c r="H18" s="2">
        <f>H19+H21+H24+H27</f>
        <v>137590.59999999998</v>
      </c>
      <c r="I18" s="2">
        <f t="shared" si="13"/>
        <v>93705.7</v>
      </c>
      <c r="J18" s="2">
        <f t="shared" si="13"/>
        <v>861013.6</v>
      </c>
      <c r="K18" s="2">
        <f t="shared" si="13"/>
        <v>1369692.33</v>
      </c>
      <c r="L18" s="2">
        <f>L19+L21+L24+L27</f>
        <v>3128932.9</v>
      </c>
      <c r="M18" s="2">
        <f>M19+M21+M24+M27</f>
        <v>3784667.9</v>
      </c>
      <c r="N18" s="2">
        <f>N19+N21+N24+N27</f>
        <v>2884223.5</v>
      </c>
      <c r="O18" s="2">
        <f>O19+O21+O24+O27</f>
        <v>562181.30000000005</v>
      </c>
      <c r="P18" s="70"/>
      <c r="Q18" s="63"/>
    </row>
    <row r="19" spans="1:21" ht="31.5" x14ac:dyDescent="0.2">
      <c r="A19" s="118"/>
      <c r="B19" s="118"/>
      <c r="C19" s="51" t="s">
        <v>80</v>
      </c>
      <c r="D19" s="1">
        <f t="shared" si="5"/>
        <v>213817.09999999998</v>
      </c>
      <c r="E19" s="1">
        <f>E29+E480</f>
        <v>98793.9</v>
      </c>
      <c r="F19" s="1">
        <f>F29+F480</f>
        <v>0</v>
      </c>
      <c r="G19" s="1">
        <f>G29+G480</f>
        <v>0</v>
      </c>
      <c r="H19" s="1">
        <f>H29+H480</f>
        <v>0</v>
      </c>
      <c r="I19" s="1">
        <f>I29+I480</f>
        <v>0</v>
      </c>
      <c r="J19" s="1">
        <f t="shared" ref="J19:O19" si="14">J29+J480+J397+J442+J500</f>
        <v>0</v>
      </c>
      <c r="K19" s="1">
        <f t="shared" si="14"/>
        <v>115023.2</v>
      </c>
      <c r="L19" s="1">
        <f t="shared" si="14"/>
        <v>0</v>
      </c>
      <c r="M19" s="1">
        <f t="shared" si="14"/>
        <v>0</v>
      </c>
      <c r="N19" s="1">
        <f t="shared" si="14"/>
        <v>0</v>
      </c>
      <c r="O19" s="1">
        <f t="shared" si="14"/>
        <v>0</v>
      </c>
    </row>
    <row r="20" spans="1:21" ht="31.5" x14ac:dyDescent="0.2">
      <c r="A20" s="118"/>
      <c r="B20" s="118"/>
      <c r="C20" s="76" t="s">
        <v>81</v>
      </c>
      <c r="D20" s="1">
        <f t="shared" ref="D20:D27" si="15">E20+F20+G20+H20+I20+J20+K20+L20+M20+N20+O20</f>
        <v>98793.9</v>
      </c>
      <c r="E20" s="73">
        <f>E30</f>
        <v>98793.9</v>
      </c>
      <c r="F20" s="73">
        <f t="shared" ref="F20:K20" si="16">F30</f>
        <v>0</v>
      </c>
      <c r="G20" s="73">
        <f t="shared" si="16"/>
        <v>0</v>
      </c>
      <c r="H20" s="73">
        <f t="shared" si="16"/>
        <v>0</v>
      </c>
      <c r="I20" s="73">
        <f t="shared" si="16"/>
        <v>0</v>
      </c>
      <c r="J20" s="73">
        <f t="shared" si="16"/>
        <v>0</v>
      </c>
      <c r="K20" s="73">
        <f t="shared" si="16"/>
        <v>0</v>
      </c>
      <c r="L20" s="73">
        <f>L30</f>
        <v>0</v>
      </c>
      <c r="M20" s="73">
        <f>M30</f>
        <v>0</v>
      </c>
      <c r="N20" s="73">
        <f>N30</f>
        <v>0</v>
      </c>
      <c r="O20" s="73">
        <f>O30</f>
        <v>0</v>
      </c>
    </row>
    <row r="21" spans="1:21" ht="31.5" customHeight="1" x14ac:dyDescent="0.2">
      <c r="A21" s="118"/>
      <c r="B21" s="118"/>
      <c r="C21" s="51" t="s">
        <v>69</v>
      </c>
      <c r="D21" s="1">
        <f>E21+F21+G21+H21+I21+J21+K21+L21+M21+N21+O21</f>
        <v>12151487.009999998</v>
      </c>
      <c r="E21" s="1">
        <f>E31+E398+E443+E481</f>
        <v>68697.599999999991</v>
      </c>
      <c r="F21" s="1">
        <f>F31+F398+F443+F481</f>
        <v>15000</v>
      </c>
      <c r="G21" s="1">
        <f>G31+G398+G443+G481</f>
        <v>26276.799999999999</v>
      </c>
      <c r="H21" s="1">
        <f>H31+H398+H443+H481</f>
        <v>47416.2</v>
      </c>
      <c r="I21" s="1">
        <f>I31+I398+I443+I481</f>
        <v>43469.7</v>
      </c>
      <c r="J21" s="1">
        <f t="shared" ref="J21:O21" si="17">J31+J398+J443+J481+J501</f>
        <v>718423.5</v>
      </c>
      <c r="K21" s="1">
        <f t="shared" si="17"/>
        <v>1144814.71</v>
      </c>
      <c r="L21" s="1">
        <f t="shared" si="17"/>
        <v>3033866.3</v>
      </c>
      <c r="M21" s="1">
        <f t="shared" si="17"/>
        <v>3705024.5</v>
      </c>
      <c r="N21" s="1">
        <f t="shared" si="17"/>
        <v>2828376.5</v>
      </c>
      <c r="O21" s="1">
        <f t="shared" si="17"/>
        <v>520121.2</v>
      </c>
    </row>
    <row r="22" spans="1:21" ht="31.5" x14ac:dyDescent="0.2">
      <c r="A22" s="118"/>
      <c r="B22" s="118"/>
      <c r="C22" s="76" t="s">
        <v>79</v>
      </c>
      <c r="D22" s="1">
        <f t="shared" si="15"/>
        <v>43117.100000000006</v>
      </c>
      <c r="E22" s="73">
        <f>E32</f>
        <v>43117.100000000006</v>
      </c>
      <c r="F22" s="73">
        <f t="shared" ref="F22:K22" si="18">F32</f>
        <v>0</v>
      </c>
      <c r="G22" s="73">
        <f t="shared" si="18"/>
        <v>0</v>
      </c>
      <c r="H22" s="73">
        <f t="shared" si="18"/>
        <v>0</v>
      </c>
      <c r="I22" s="73">
        <f t="shared" si="18"/>
        <v>0</v>
      </c>
      <c r="J22" s="73">
        <f t="shared" si="18"/>
        <v>0</v>
      </c>
      <c r="K22" s="73">
        <f t="shared" si="18"/>
        <v>0</v>
      </c>
      <c r="L22" s="73">
        <f t="shared" ref="L22:O22" si="19">L32</f>
        <v>0</v>
      </c>
      <c r="M22" s="73">
        <f t="shared" si="19"/>
        <v>0</v>
      </c>
      <c r="N22" s="73">
        <f t="shared" si="19"/>
        <v>0</v>
      </c>
      <c r="O22" s="73">
        <f t="shared" si="19"/>
        <v>0</v>
      </c>
    </row>
    <row r="23" spans="1:21" ht="31.5" x14ac:dyDescent="0.2">
      <c r="A23" s="118"/>
      <c r="B23" s="118"/>
      <c r="C23" s="76" t="s">
        <v>81</v>
      </c>
      <c r="D23" s="73">
        <f>E23+F23+G23+H23+I23+J23+K23+L23+M23+N23+O23</f>
        <v>74527.100000000006</v>
      </c>
      <c r="E23" s="73">
        <f>E33</f>
        <v>20580.5</v>
      </c>
      <c r="F23" s="73">
        <f t="shared" ref="F23:K23" si="20">F33</f>
        <v>0</v>
      </c>
      <c r="G23" s="73">
        <f t="shared" si="20"/>
        <v>0</v>
      </c>
      <c r="H23" s="73">
        <f t="shared" si="20"/>
        <v>0</v>
      </c>
      <c r="I23" s="73">
        <f t="shared" si="20"/>
        <v>0</v>
      </c>
      <c r="J23" s="73">
        <f t="shared" si="20"/>
        <v>0</v>
      </c>
      <c r="K23" s="73">
        <f t="shared" si="20"/>
        <v>0</v>
      </c>
      <c r="L23" s="73">
        <f>L33+L502</f>
        <v>21808</v>
      </c>
      <c r="M23" s="73">
        <f>M33+M502</f>
        <v>32138.6</v>
      </c>
      <c r="N23" s="73">
        <f>N33+N502</f>
        <v>0</v>
      </c>
      <c r="O23" s="73">
        <f>O33+O502</f>
        <v>0</v>
      </c>
    </row>
    <row r="24" spans="1:21" ht="31.5" x14ac:dyDescent="0.2">
      <c r="A24" s="118"/>
      <c r="B24" s="118"/>
      <c r="C24" s="51" t="s">
        <v>65</v>
      </c>
      <c r="D24" s="1">
        <f>E24+F24+G24+H24+I24+J24+K24+L24+M24+N24+O24</f>
        <v>799115.52</v>
      </c>
      <c r="E24" s="1">
        <f>E34+E399+E444+E482</f>
        <v>51114.700000000004</v>
      </c>
      <c r="F24" s="1">
        <f>F34+F399+F444+F482</f>
        <v>36837.9</v>
      </c>
      <c r="G24" s="1">
        <f>G34+G399+G444+G482</f>
        <v>45690.899999999994</v>
      </c>
      <c r="H24" s="1">
        <f>H34+H399+H444+H482</f>
        <v>90174.399999999994</v>
      </c>
      <c r="I24" s="1">
        <f>I34+I399+I444+I482</f>
        <v>50236</v>
      </c>
      <c r="J24" s="1">
        <f t="shared" ref="J24:O24" si="21">J34+J399+J444+J482+J503</f>
        <v>142590.1</v>
      </c>
      <c r="K24" s="1">
        <f t="shared" si="21"/>
        <v>109854.42000000004</v>
      </c>
      <c r="L24" s="1">
        <f t="shared" si="21"/>
        <v>95066.599999999977</v>
      </c>
      <c r="M24" s="1">
        <f t="shared" si="21"/>
        <v>79643.399999999994</v>
      </c>
      <c r="N24" s="1">
        <f t="shared" si="21"/>
        <v>55846.999999999993</v>
      </c>
      <c r="O24" s="1">
        <f t="shared" si="21"/>
        <v>42060.1</v>
      </c>
      <c r="P24" s="63"/>
      <c r="Q24" s="63"/>
    </row>
    <row r="25" spans="1:21" ht="31.5" customHeight="1" x14ac:dyDescent="0.2">
      <c r="A25" s="118"/>
      <c r="B25" s="118"/>
      <c r="C25" s="76" t="s">
        <v>79</v>
      </c>
      <c r="D25" s="1">
        <f t="shared" si="15"/>
        <v>24185.399999999998</v>
      </c>
      <c r="E25" s="73">
        <f t="shared" ref="E25:O25" si="22">E35+E445</f>
        <v>17427.399999999998</v>
      </c>
      <c r="F25" s="73">
        <f t="shared" si="22"/>
        <v>2151</v>
      </c>
      <c r="G25" s="73">
        <f t="shared" si="22"/>
        <v>3908.3</v>
      </c>
      <c r="H25" s="73">
        <f t="shared" si="22"/>
        <v>0</v>
      </c>
      <c r="I25" s="73">
        <f t="shared" si="22"/>
        <v>698.7</v>
      </c>
      <c r="J25" s="73">
        <f t="shared" si="22"/>
        <v>0</v>
      </c>
      <c r="K25" s="73">
        <f t="shared" si="22"/>
        <v>0</v>
      </c>
      <c r="L25" s="73">
        <f t="shared" si="22"/>
        <v>0</v>
      </c>
      <c r="M25" s="73">
        <f t="shared" si="22"/>
        <v>0</v>
      </c>
      <c r="N25" s="73">
        <f t="shared" si="22"/>
        <v>0</v>
      </c>
      <c r="O25" s="73">
        <f t="shared" si="22"/>
        <v>0</v>
      </c>
    </row>
    <row r="26" spans="1:21" ht="31.5" customHeight="1" x14ac:dyDescent="0.2">
      <c r="A26" s="118"/>
      <c r="B26" s="118"/>
      <c r="C26" s="74" t="s">
        <v>449</v>
      </c>
      <c r="D26" s="73">
        <f t="shared" ref="D26:K26" si="23">D504</f>
        <v>2784</v>
      </c>
      <c r="E26" s="73">
        <f t="shared" si="23"/>
        <v>0</v>
      </c>
      <c r="F26" s="73">
        <f t="shared" si="23"/>
        <v>0</v>
      </c>
      <c r="G26" s="73">
        <f t="shared" si="23"/>
        <v>0</v>
      </c>
      <c r="H26" s="73">
        <f t="shared" si="23"/>
        <v>0</v>
      </c>
      <c r="I26" s="73">
        <f t="shared" si="23"/>
        <v>0</v>
      </c>
      <c r="J26" s="73">
        <f t="shared" si="23"/>
        <v>0</v>
      </c>
      <c r="K26" s="73">
        <f t="shared" si="23"/>
        <v>0</v>
      </c>
      <c r="L26" s="73">
        <f>L504</f>
        <v>1392</v>
      </c>
      <c r="M26" s="73">
        <f>M33+M504</f>
        <v>11722.6</v>
      </c>
      <c r="N26" s="73">
        <f t="shared" ref="N26:O26" si="24">N33+N504</f>
        <v>0</v>
      </c>
      <c r="O26" s="73">
        <f t="shared" si="24"/>
        <v>0</v>
      </c>
    </row>
    <row r="27" spans="1:21" ht="17.25" customHeight="1" x14ac:dyDescent="0.2">
      <c r="A27" s="119"/>
      <c r="B27" s="119"/>
      <c r="C27" s="51" t="s">
        <v>13</v>
      </c>
      <c r="D27" s="1">
        <f t="shared" si="15"/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</row>
    <row r="28" spans="1:21" ht="15.75" x14ac:dyDescent="0.2">
      <c r="A28" s="148" t="s">
        <v>235</v>
      </c>
      <c r="B28" s="151" t="s">
        <v>142</v>
      </c>
      <c r="C28" s="51" t="s">
        <v>7</v>
      </c>
      <c r="D28" s="1">
        <f t="shared" ref="D28:O28" si="25">D29+D31+D34+D37</f>
        <v>12405248.6</v>
      </c>
      <c r="E28" s="1">
        <f t="shared" si="25"/>
        <v>190159.7</v>
      </c>
      <c r="F28" s="1">
        <f t="shared" si="25"/>
        <v>25969.5</v>
      </c>
      <c r="G28" s="1">
        <f t="shared" si="25"/>
        <v>41615.9</v>
      </c>
      <c r="H28" s="1">
        <f t="shared" si="25"/>
        <v>112179.9</v>
      </c>
      <c r="I28" s="1">
        <f t="shared" si="25"/>
        <v>55446.6</v>
      </c>
      <c r="J28" s="1">
        <f t="shared" si="25"/>
        <v>621253.9</v>
      </c>
      <c r="K28" s="1">
        <f t="shared" si="25"/>
        <v>1099158.2</v>
      </c>
      <c r="L28" s="1">
        <f t="shared" si="25"/>
        <v>3086603.5</v>
      </c>
      <c r="M28" s="1">
        <f t="shared" si="25"/>
        <v>3750197.9</v>
      </c>
      <c r="N28" s="1">
        <f t="shared" si="25"/>
        <v>2872113.3</v>
      </c>
      <c r="O28" s="1">
        <f t="shared" si="25"/>
        <v>550550.19999999995</v>
      </c>
      <c r="P28" s="70"/>
      <c r="Q28" s="63"/>
    </row>
    <row r="29" spans="1:21" ht="31.5" customHeight="1" x14ac:dyDescent="0.2">
      <c r="A29" s="149"/>
      <c r="B29" s="152"/>
      <c r="C29" s="51" t="s">
        <v>80</v>
      </c>
      <c r="D29" s="1">
        <f>E29+F29+G29+H29+I29+J29+K29+L29+M29+N29+O29</f>
        <v>98793.9</v>
      </c>
      <c r="E29" s="1">
        <f>E39+E45+E51+E57+E62+E69+E75+E82+E89+E95+E101+E108+E115+E122+E130+E139+E146+E153+E159+E166+E173+E179+E185+E190+E195+E200+E207+E212+E217+E222+E227+E232+E237+E242+E247+E252+E257+E262+E267+E272+E302</f>
        <v>98793.9</v>
      </c>
      <c r="F29" s="1">
        <f t="shared" ref="F29:O29" si="26">F39+F45+F51+F57+F62+F69+F75+F82+F89+F95+F101+F108+F115+F122+F130+F139+F146+F153+F159+F166+F173+F179+F185+F190+F195+F200+F207+F212+F217+F222+F227+F232+F237+F242+F247+F252+F257+F262+F267+F272+F302</f>
        <v>0</v>
      </c>
      <c r="G29" s="1">
        <f t="shared" si="26"/>
        <v>0</v>
      </c>
      <c r="H29" s="1">
        <f t="shared" si="26"/>
        <v>0</v>
      </c>
      <c r="I29" s="1">
        <f t="shared" si="26"/>
        <v>0</v>
      </c>
      <c r="J29" s="1">
        <f t="shared" si="26"/>
        <v>0</v>
      </c>
      <c r="K29" s="1">
        <f t="shared" si="26"/>
        <v>0</v>
      </c>
      <c r="L29" s="1">
        <f t="shared" si="26"/>
        <v>0</v>
      </c>
      <c r="M29" s="1">
        <f t="shared" si="26"/>
        <v>0</v>
      </c>
      <c r="N29" s="1">
        <f t="shared" si="26"/>
        <v>0</v>
      </c>
      <c r="O29" s="1">
        <f t="shared" si="26"/>
        <v>0</v>
      </c>
    </row>
    <row r="30" spans="1:21" ht="31.5" x14ac:dyDescent="0.2">
      <c r="A30" s="149"/>
      <c r="B30" s="152"/>
      <c r="C30" s="76" t="s">
        <v>81</v>
      </c>
      <c r="D30" s="1">
        <f t="shared" ref="D30:D37" si="27">E30+F30+G30+H30+I30+J30+K30+L30+M30+N30+O30</f>
        <v>98793.9</v>
      </c>
      <c r="E30" s="73">
        <f>E63</f>
        <v>98793.9</v>
      </c>
      <c r="F30" s="73">
        <f t="shared" ref="F30:K30" si="28">F63</f>
        <v>0</v>
      </c>
      <c r="G30" s="73">
        <f t="shared" si="28"/>
        <v>0</v>
      </c>
      <c r="H30" s="73">
        <f t="shared" si="28"/>
        <v>0</v>
      </c>
      <c r="I30" s="73">
        <f t="shared" si="28"/>
        <v>0</v>
      </c>
      <c r="J30" s="73">
        <f t="shared" si="28"/>
        <v>0</v>
      </c>
      <c r="K30" s="73">
        <f t="shared" si="28"/>
        <v>0</v>
      </c>
      <c r="L30" s="73">
        <f>L63</f>
        <v>0</v>
      </c>
      <c r="M30" s="73">
        <f>M63</f>
        <v>0</v>
      </c>
      <c r="N30" s="73">
        <f>N63</f>
        <v>0</v>
      </c>
      <c r="O30" s="73">
        <f>O63</f>
        <v>0</v>
      </c>
      <c r="R30" s="63"/>
      <c r="S30" s="63"/>
      <c r="T30" s="63"/>
      <c r="U30" s="63"/>
    </row>
    <row r="31" spans="1:21" ht="31.5" x14ac:dyDescent="0.2">
      <c r="A31" s="149"/>
      <c r="B31" s="152"/>
      <c r="C31" s="51" t="s">
        <v>69</v>
      </c>
      <c r="D31" s="1">
        <f t="shared" si="27"/>
        <v>11750190.6</v>
      </c>
      <c r="E31" s="1">
        <f>E40+E46+E52+E58+E64+E70+E76+E83+E90+E96+E102+E109+E116+E123+E131+E140+E147+E154+E160+E167+E174+E180+E186+E191+E196+E201+E208+E218+E223+E228++E233+E238+E243+E248+E253+E258+E263+E268+E273+E303</f>
        <v>68697.599999999991</v>
      </c>
      <c r="F31" s="1">
        <f t="shared" ref="F31:I31" si="29">F40+F46+F52+F58+F64+F70+F76+F83+F90+F96+F102+F109+F116+F123+F131+F140+F147+F154+F160+F167+F174+F180+F186+F191+F196+F201+F208+F218+F223+F228++F233+F238+F243+F248+F253+F258+F263+F268+F273+F303</f>
        <v>15000</v>
      </c>
      <c r="G31" s="1">
        <f t="shared" si="29"/>
        <v>26276.799999999999</v>
      </c>
      <c r="H31" s="1">
        <f t="shared" si="29"/>
        <v>47416.2</v>
      </c>
      <c r="I31" s="1">
        <f t="shared" si="29"/>
        <v>16128.9</v>
      </c>
      <c r="J31" s="1">
        <f>J40+J46+J52+J58+J64+J70+J76+J83+J90+J96+J102+J109+J116+J123+J131+J140+J147+J154+J160+J167+J174+J180+J186+J191+J196+J201+J208+J218+J223+J228++J233+J238+J243+J248+J253+J258+J263+J268+J273+J303+J278</f>
        <v>510517.9</v>
      </c>
      <c r="K31" s="1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1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1">
        <f t="shared" ref="M31:O31" si="30">M40+M46+M52+M58+M64+M70+M76+M83+M90+M96+M102+M109+M116+M123+M131+M140+M147+M154+M160+M167+M174+M180+M186+M191+M196+M201+M208+M218+M223+M228++M233+M238+M243+M248+M253+M258+M263+M268+M273+M303+M278+M283+M288+M293+M298+M333+M348+M353+M363+M368+M383+M388</f>
        <v>3683216.5</v>
      </c>
      <c r="N31" s="1">
        <f t="shared" si="30"/>
        <v>2828376.5</v>
      </c>
      <c r="O31" s="1">
        <f t="shared" si="30"/>
        <v>520121.2</v>
      </c>
    </row>
    <row r="32" spans="1:21" ht="31.5" x14ac:dyDescent="0.2">
      <c r="A32" s="149"/>
      <c r="B32" s="152"/>
      <c r="C32" s="76" t="s">
        <v>79</v>
      </c>
      <c r="D32" s="1">
        <f t="shared" si="27"/>
        <v>43117.100000000006</v>
      </c>
      <c r="E32" s="73">
        <f t="shared" ref="E32:K32" si="31">E77+E124+E133+E148</f>
        <v>43117.100000000006</v>
      </c>
      <c r="F32" s="73">
        <f t="shared" si="31"/>
        <v>0</v>
      </c>
      <c r="G32" s="73">
        <f t="shared" si="31"/>
        <v>0</v>
      </c>
      <c r="H32" s="73">
        <f t="shared" si="31"/>
        <v>0</v>
      </c>
      <c r="I32" s="73">
        <f t="shared" si="31"/>
        <v>0</v>
      </c>
      <c r="J32" s="73">
        <f t="shared" si="31"/>
        <v>0</v>
      </c>
      <c r="K32" s="73">
        <f t="shared" si="31"/>
        <v>0</v>
      </c>
      <c r="L32" s="73">
        <f>L77+L124+L133+L148</f>
        <v>0</v>
      </c>
      <c r="M32" s="73">
        <f>M77+M124+M133+M148</f>
        <v>0</v>
      </c>
      <c r="N32" s="73">
        <f>N77+N124+N133+N148</f>
        <v>0</v>
      </c>
      <c r="O32" s="73">
        <f>O77+O124+O133+O148</f>
        <v>0</v>
      </c>
    </row>
    <row r="33" spans="1:22" ht="31.5" customHeight="1" x14ac:dyDescent="0.2">
      <c r="A33" s="149"/>
      <c r="B33" s="152"/>
      <c r="C33" s="76" t="s">
        <v>81</v>
      </c>
      <c r="D33" s="1">
        <f t="shared" si="27"/>
        <v>30911.1</v>
      </c>
      <c r="E33" s="73">
        <f>E103+E161+E132</f>
        <v>20580.5</v>
      </c>
      <c r="F33" s="73">
        <f t="shared" ref="F33:K33" si="32">F103+F161</f>
        <v>0</v>
      </c>
      <c r="G33" s="73">
        <f t="shared" si="32"/>
        <v>0</v>
      </c>
      <c r="H33" s="73">
        <f t="shared" si="32"/>
        <v>0</v>
      </c>
      <c r="I33" s="73">
        <f t="shared" si="32"/>
        <v>0</v>
      </c>
      <c r="J33" s="73">
        <f t="shared" si="32"/>
        <v>0</v>
      </c>
      <c r="K33" s="73">
        <f t="shared" si="32"/>
        <v>0</v>
      </c>
      <c r="L33" s="73">
        <f>L103+L161</f>
        <v>0</v>
      </c>
      <c r="M33" s="73">
        <f>M103+M161+M202</f>
        <v>10330.6</v>
      </c>
      <c r="N33" s="73">
        <f t="shared" ref="N33:O33" si="33">N103+N161+N202</f>
        <v>0</v>
      </c>
      <c r="O33" s="73">
        <f t="shared" si="33"/>
        <v>0</v>
      </c>
    </row>
    <row r="34" spans="1:22" ht="31.5" x14ac:dyDescent="0.2">
      <c r="A34" s="149"/>
      <c r="B34" s="152"/>
      <c r="C34" s="51" t="s">
        <v>65</v>
      </c>
      <c r="D34" s="1">
        <f>E34+F34+G34+H34+I34+J34+K34+L34+M34+N34+O34</f>
        <v>556264.10000000009</v>
      </c>
      <c r="E34" s="1">
        <f>E41+E47+E53+E59+E65+E71+E78+E84+E91+E97+E104+E110+E117+E125+E134+E141+E149+E155+E162+E168+E175+E181+E187+E192+E197+E203+E209+E214+E219+E224+E229+E234+E239+E244+E254+E249+E259+E264+E269+E274+E304</f>
        <v>22668.2</v>
      </c>
      <c r="F34" s="1">
        <f t="shared" ref="F34:I34" si="34">F41+F47+F53+F59+F65+F71+F78+F84+F91+F97+F104+F110+F117+F125+F134+F141+F149+F155+F162+F168+F175+F181+F187+F192+F197+F203+F209+F214+F219+F224+F229+F234+F239+F244+F254+F249+F259+F264+F269+F274+F304</f>
        <v>10969.5</v>
      </c>
      <c r="G34" s="1">
        <f t="shared" si="34"/>
        <v>15339.1</v>
      </c>
      <c r="H34" s="1">
        <f t="shared" si="34"/>
        <v>64763.7</v>
      </c>
      <c r="I34" s="1">
        <f t="shared" si="34"/>
        <v>39317.699999999997</v>
      </c>
      <c r="J34" s="1">
        <f>J41+J47+J53+J59+J65+J71+J78+J84+J91+J97+J104+J110+J117+J125+J134+J141+J149+J155+J162+J168+J175+J181+J187+J192+J197+J203+J209+J214+J219+J224+J229+J234+J239+J244+J254+J249+J259+J264+J269+J274+J304+J279</f>
        <v>110736</v>
      </c>
      <c r="K34" s="1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1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1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</f>
        <v>66981.399999999994</v>
      </c>
      <c r="N34" s="1">
        <f t="shared" ref="N34:O34" si="35">N41+N47+N53+N59+N65+N71+N78+N84+N91+N97+N104+N110+N117+N125+N134+N141+N149+N155+N162+N168+N175+N181+N187+N192+N197+N203+N209+N214+N219+N224+N229+N234+N239+N244+N254+N249+N259+N264+N269+N274+N279+N304+N284+N289+N294+N299+N309+N314+N319+N324+N334+N349+N354+N364+N369+N384+N389</f>
        <v>43736.799999999996</v>
      </c>
      <c r="O34" s="1">
        <f t="shared" si="35"/>
        <v>30429</v>
      </c>
      <c r="P34" s="1">
        <f t="shared" ref="P34:V34" si="36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1">
        <f t="shared" si="36"/>
        <v>0</v>
      </c>
      <c r="R34" s="1">
        <f t="shared" si="36"/>
        <v>0</v>
      </c>
      <c r="S34" s="1">
        <f t="shared" si="36"/>
        <v>0</v>
      </c>
      <c r="T34" s="1">
        <f t="shared" si="36"/>
        <v>0</v>
      </c>
      <c r="U34" s="1">
        <f t="shared" si="36"/>
        <v>0</v>
      </c>
      <c r="V34" s="1">
        <f t="shared" si="36"/>
        <v>0</v>
      </c>
    </row>
    <row r="35" spans="1:22" ht="31.5" x14ac:dyDescent="0.2">
      <c r="A35" s="149"/>
      <c r="B35" s="152"/>
      <c r="C35" s="76" t="s">
        <v>79</v>
      </c>
      <c r="D35" s="1">
        <f t="shared" si="27"/>
        <v>20554.099999999999</v>
      </c>
      <c r="E35" s="73">
        <f>E48+E54+E72+E79+E85+E92+E98+E111+E118+E126+E135+E142+E150+E156+E169+E176+E182+E42+E66</f>
        <v>14494.8</v>
      </c>
      <c r="F35" s="73">
        <f t="shared" ref="F35:K35" si="37">F48+F54+F72+F79+F85+F92+F98+F111+F118+F126+F135+F142+F150+F156+F169+F176+F182+F42+F66</f>
        <v>2151</v>
      </c>
      <c r="G35" s="73">
        <f t="shared" si="37"/>
        <v>3908.3</v>
      </c>
      <c r="H35" s="73">
        <f t="shared" si="37"/>
        <v>0</v>
      </c>
      <c r="I35" s="73">
        <f t="shared" si="37"/>
        <v>0</v>
      </c>
      <c r="J35" s="73">
        <f t="shared" si="37"/>
        <v>0</v>
      </c>
      <c r="K35" s="73">
        <f t="shared" si="37"/>
        <v>0</v>
      </c>
      <c r="L35" s="73">
        <f>L48+L54+L72+L79+L85+L92+L98+L111+L118+L126+L135+L142+L150+L156+L169+L176+L182+L42+L66</f>
        <v>0</v>
      </c>
      <c r="M35" s="73">
        <f>M48+M54+M72+M79+M85+M92+M98+M111+M118+M126+M135+M142+M150+M156+M169+M176+M182+M42+M66</f>
        <v>0</v>
      </c>
      <c r="N35" s="73">
        <f>N48+N54+N72+N79+N85+N92+N98+N111+N118+N126+N135+N142+N150+N156+N169+N176+N182+N42+N66</f>
        <v>0</v>
      </c>
      <c r="O35" s="73">
        <f>O48+O54+O72+O79+O85+O92+O98+O111+O118+O126+O135+O142+O150+O156+O169+O176+O182+O42+O66</f>
        <v>0</v>
      </c>
    </row>
    <row r="36" spans="1:22" ht="31.5" x14ac:dyDescent="0.2">
      <c r="A36" s="149"/>
      <c r="B36" s="152"/>
      <c r="C36" s="76" t="s">
        <v>449</v>
      </c>
      <c r="D36" s="73">
        <f t="shared" si="27"/>
        <v>659.4</v>
      </c>
      <c r="E36" s="73">
        <f>E204</f>
        <v>0</v>
      </c>
      <c r="F36" s="73">
        <f t="shared" ref="F36:O36" si="38">F204</f>
        <v>0</v>
      </c>
      <c r="G36" s="73">
        <f t="shared" si="38"/>
        <v>0</v>
      </c>
      <c r="H36" s="73">
        <f t="shared" si="38"/>
        <v>0</v>
      </c>
      <c r="I36" s="73">
        <f t="shared" si="38"/>
        <v>0</v>
      </c>
      <c r="J36" s="73">
        <f t="shared" si="38"/>
        <v>0</v>
      </c>
      <c r="K36" s="73">
        <f t="shared" si="38"/>
        <v>0</v>
      </c>
      <c r="L36" s="73">
        <f t="shared" si="38"/>
        <v>0</v>
      </c>
      <c r="M36" s="73">
        <f t="shared" si="38"/>
        <v>659.4</v>
      </c>
      <c r="N36" s="73">
        <f t="shared" si="38"/>
        <v>0</v>
      </c>
      <c r="O36" s="73">
        <f t="shared" si="38"/>
        <v>0</v>
      </c>
    </row>
    <row r="37" spans="1:22" ht="18.75" customHeight="1" x14ac:dyDescent="0.2">
      <c r="A37" s="150"/>
      <c r="B37" s="153"/>
      <c r="C37" s="51" t="s">
        <v>13</v>
      </c>
      <c r="D37" s="1">
        <f t="shared" si="27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22" ht="15.75" x14ac:dyDescent="0.2">
      <c r="A38" s="108" t="s">
        <v>94</v>
      </c>
      <c r="B38" s="138" t="s">
        <v>371</v>
      </c>
      <c r="C38" s="59" t="s">
        <v>7</v>
      </c>
      <c r="D38" s="1">
        <f t="shared" ref="D38:D43" si="39">E38+F38+G38+H38+I38+J38+K38+L38+M38+N38+O38</f>
        <v>20898.7</v>
      </c>
      <c r="E38" s="1">
        <f t="shared" ref="E38:J38" si="40">SUM(E39:E43)</f>
        <v>279.3</v>
      </c>
      <c r="F38" s="1">
        <f t="shared" si="40"/>
        <v>7999</v>
      </c>
      <c r="G38" s="1">
        <f>G39+G40+G41+G43</f>
        <v>3908.3</v>
      </c>
      <c r="H38" s="1">
        <f t="shared" si="40"/>
        <v>0</v>
      </c>
      <c r="I38" s="1">
        <f t="shared" si="40"/>
        <v>7695.7</v>
      </c>
      <c r="J38" s="1">
        <f t="shared" si="40"/>
        <v>1016.4000000000001</v>
      </c>
      <c r="K38" s="1">
        <f>K39+K40+K41+K42+K43</f>
        <v>0</v>
      </c>
      <c r="L38" s="1">
        <f>L39+L40+L41+L42+L43</f>
        <v>0</v>
      </c>
      <c r="M38" s="1">
        <f>M39+M40+M41+M42+M43</f>
        <v>0</v>
      </c>
      <c r="N38" s="1">
        <f>N39+N40+N41+N42+N43</f>
        <v>0</v>
      </c>
      <c r="O38" s="1">
        <f>O39+O40+O41+O42+O43</f>
        <v>0</v>
      </c>
      <c r="P38" s="65" t="s">
        <v>354</v>
      </c>
    </row>
    <row r="39" spans="1:22" ht="15.75" x14ac:dyDescent="0.2">
      <c r="A39" s="108"/>
      <c r="B39" s="139"/>
      <c r="C39" s="51" t="s">
        <v>10</v>
      </c>
      <c r="D39" s="1">
        <f t="shared" si="39"/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22" ht="15.75" x14ac:dyDescent="0.2">
      <c r="A40" s="108"/>
      <c r="B40" s="139"/>
      <c r="C40" s="51" t="s">
        <v>11</v>
      </c>
      <c r="D40" s="1">
        <f t="shared" si="39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22" ht="15.75" x14ac:dyDescent="0.2">
      <c r="A41" s="108"/>
      <c r="B41" s="139"/>
      <c r="C41" s="51" t="s">
        <v>12</v>
      </c>
      <c r="D41" s="1">
        <f t="shared" si="39"/>
        <v>20898.7</v>
      </c>
      <c r="E41" s="1">
        <v>279.3</v>
      </c>
      <c r="F41" s="1">
        <v>7999</v>
      </c>
      <c r="G41" s="1">
        <v>3908.3</v>
      </c>
      <c r="H41" s="1">
        <v>0</v>
      </c>
      <c r="I41" s="1">
        <v>7695.7</v>
      </c>
      <c r="J41" s="1">
        <f>13000-10000-91-1800-1.6-235+144</f>
        <v>1016.4000000000001</v>
      </c>
      <c r="K41" s="1">
        <f>1620.7-553.4-1067.3</f>
        <v>0</v>
      </c>
      <c r="L41" s="1">
        <v>0</v>
      </c>
      <c r="M41" s="1">
        <v>0</v>
      </c>
      <c r="N41" s="1">
        <v>0</v>
      </c>
      <c r="O41" s="1">
        <v>0</v>
      </c>
    </row>
    <row r="42" spans="1:22" ht="31.5" x14ac:dyDescent="0.2">
      <c r="A42" s="108"/>
      <c r="B42" s="139"/>
      <c r="C42" s="76" t="s">
        <v>79</v>
      </c>
      <c r="D42" s="73">
        <f t="shared" si="39"/>
        <v>3908.3</v>
      </c>
      <c r="E42" s="73">
        <v>0</v>
      </c>
      <c r="F42" s="73">
        <v>0</v>
      </c>
      <c r="G42" s="73">
        <v>3908.3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22" ht="20.25" customHeight="1" x14ac:dyDescent="0.2">
      <c r="A43" s="108"/>
      <c r="B43" s="140"/>
      <c r="C43" s="51" t="s">
        <v>13</v>
      </c>
      <c r="D43" s="1">
        <f t="shared" si="39"/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22" ht="15.75" x14ac:dyDescent="0.2">
      <c r="A44" s="108" t="s">
        <v>95</v>
      </c>
      <c r="B44" s="103" t="s">
        <v>247</v>
      </c>
      <c r="C44" s="51" t="s">
        <v>7</v>
      </c>
      <c r="D44" s="1">
        <f>D45+D46+D47+D49</f>
        <v>89901.1</v>
      </c>
      <c r="E44" s="1">
        <f t="shared" ref="E44:O44" si="41">E45+E46+E47+E49</f>
        <v>2524.5</v>
      </c>
      <c r="F44" s="1">
        <f t="shared" si="41"/>
        <v>0</v>
      </c>
      <c r="G44" s="1">
        <f t="shared" si="41"/>
        <v>9700</v>
      </c>
      <c r="H44" s="1">
        <f t="shared" si="41"/>
        <v>55770.7</v>
      </c>
      <c r="I44" s="1">
        <f t="shared" si="41"/>
        <v>20706</v>
      </c>
      <c r="J44" s="1">
        <f>J45+J46+J47+J49</f>
        <v>1153.1000000000004</v>
      </c>
      <c r="K44" s="1">
        <f t="shared" si="41"/>
        <v>46.800000000000004</v>
      </c>
      <c r="L44" s="1">
        <f t="shared" si="41"/>
        <v>0</v>
      </c>
      <c r="M44" s="1">
        <f t="shared" si="41"/>
        <v>0</v>
      </c>
      <c r="N44" s="1">
        <f t="shared" si="41"/>
        <v>0</v>
      </c>
      <c r="O44" s="1">
        <f t="shared" si="41"/>
        <v>0</v>
      </c>
      <c r="P44" s="65" t="s">
        <v>354</v>
      </c>
    </row>
    <row r="45" spans="1:22" ht="17.25" customHeight="1" x14ac:dyDescent="0.2">
      <c r="A45" s="108"/>
      <c r="B45" s="103"/>
      <c r="C45" s="51" t="s">
        <v>10</v>
      </c>
      <c r="D45" s="1">
        <f>E45+F45+G45+H45+I45+J45+K45+L45+M45+N45+O45</f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22" ht="15.75" x14ac:dyDescent="0.2">
      <c r="A46" s="108"/>
      <c r="B46" s="103"/>
      <c r="C46" s="51" t="s">
        <v>11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22" ht="31.5" x14ac:dyDescent="0.2">
      <c r="A47" s="108"/>
      <c r="B47" s="103"/>
      <c r="C47" s="51" t="s">
        <v>65</v>
      </c>
      <c r="D47" s="1">
        <f>E47+F47+G47+H47+I47+J47+K47+L47+M47+N47+O47</f>
        <v>89901.1</v>
      </c>
      <c r="E47" s="1">
        <v>2524.5</v>
      </c>
      <c r="F47" s="1">
        <v>0</v>
      </c>
      <c r="G47" s="1">
        <v>9700</v>
      </c>
      <c r="H47" s="1">
        <v>55770.7</v>
      </c>
      <c r="I47" s="1">
        <f>23156-2450</f>
        <v>20706</v>
      </c>
      <c r="J47" s="1">
        <f>10000-8846.9</f>
        <v>1153.1000000000004</v>
      </c>
      <c r="K47" s="1">
        <f>49.2-2.4</f>
        <v>46.800000000000004</v>
      </c>
      <c r="L47" s="1">
        <v>0</v>
      </c>
      <c r="M47" s="1">
        <v>0</v>
      </c>
      <c r="N47" s="1">
        <v>0</v>
      </c>
      <c r="O47" s="1">
        <v>0</v>
      </c>
    </row>
    <row r="48" spans="1:22" ht="31.5" x14ac:dyDescent="0.2">
      <c r="A48" s="108"/>
      <c r="B48" s="103"/>
      <c r="C48" s="76" t="s">
        <v>79</v>
      </c>
      <c r="D48" s="1">
        <f>E48+F48+G48+H48+I48+J48+K48+L48+M48+N48+O48</f>
        <v>1837.2</v>
      </c>
      <c r="E48" s="73">
        <v>1837.2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</row>
    <row r="49" spans="1:17" ht="18" customHeight="1" x14ac:dyDescent="0.2">
      <c r="A49" s="108"/>
      <c r="B49" s="103"/>
      <c r="C49" s="51" t="s">
        <v>13</v>
      </c>
      <c r="D49" s="1">
        <f>E49+F49+G49+H49+I49+J49+K49+L49+M49+N49+O49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15.75" x14ac:dyDescent="0.2">
      <c r="A50" s="97" t="s">
        <v>131</v>
      </c>
      <c r="B50" s="138" t="s">
        <v>227</v>
      </c>
      <c r="C50" s="51" t="s">
        <v>7</v>
      </c>
      <c r="D50" s="1">
        <f>E50+F50+G50+H50+I50+J50</f>
        <v>342.5</v>
      </c>
      <c r="E50" s="1">
        <f t="shared" ref="E50:K50" si="42">E51+E52+E53+E55</f>
        <v>330.5</v>
      </c>
      <c r="F50" s="1">
        <f t="shared" si="42"/>
        <v>12</v>
      </c>
      <c r="G50" s="1">
        <f t="shared" si="42"/>
        <v>0</v>
      </c>
      <c r="H50" s="1">
        <f t="shared" si="42"/>
        <v>0</v>
      </c>
      <c r="I50" s="1">
        <f t="shared" si="42"/>
        <v>0</v>
      </c>
      <c r="J50" s="1">
        <f t="shared" si="42"/>
        <v>0</v>
      </c>
      <c r="K50" s="1">
        <f t="shared" si="42"/>
        <v>0</v>
      </c>
      <c r="L50" s="1">
        <f>L51+L52+L53+L55</f>
        <v>0</v>
      </c>
      <c r="M50" s="1">
        <f>M51+M52+M53+M55</f>
        <v>0</v>
      </c>
      <c r="N50" s="1">
        <f>N51+N52+N53+N55</f>
        <v>0</v>
      </c>
      <c r="O50" s="1">
        <f>O51+O52+O53+O55</f>
        <v>0</v>
      </c>
    </row>
    <row r="51" spans="1:17" ht="15.75" x14ac:dyDescent="0.2">
      <c r="A51" s="98"/>
      <c r="B51" s="139"/>
      <c r="C51" s="51" t="s">
        <v>10</v>
      </c>
      <c r="D51" s="1">
        <f>E51+F51+G51+H51+I51+J51</f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7" ht="15.75" x14ac:dyDescent="0.2">
      <c r="A52" s="98"/>
      <c r="B52" s="139"/>
      <c r="C52" s="51" t="s">
        <v>11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30.75" customHeight="1" x14ac:dyDescent="0.2">
      <c r="A53" s="98"/>
      <c r="B53" s="139"/>
      <c r="C53" s="51" t="s">
        <v>65</v>
      </c>
      <c r="D53" s="1">
        <f>E53+F53+G53+H53+I53+J53</f>
        <v>342.5</v>
      </c>
      <c r="E53" s="1">
        <v>330.5</v>
      </c>
      <c r="F53" s="1">
        <v>12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</row>
    <row r="54" spans="1:17" ht="32.25" customHeight="1" x14ac:dyDescent="0.2">
      <c r="A54" s="98"/>
      <c r="B54" s="139"/>
      <c r="C54" s="76" t="s">
        <v>79</v>
      </c>
      <c r="D54" s="73">
        <f>E54</f>
        <v>330.5</v>
      </c>
      <c r="E54" s="73">
        <v>330.5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1">
        <v>0</v>
      </c>
      <c r="L54" s="73">
        <v>0</v>
      </c>
      <c r="M54" s="73">
        <v>0</v>
      </c>
      <c r="N54" s="73">
        <v>0</v>
      </c>
      <c r="O54" s="1">
        <v>0</v>
      </c>
    </row>
    <row r="55" spans="1:17" ht="26.25" customHeight="1" x14ac:dyDescent="0.2">
      <c r="A55" s="99"/>
      <c r="B55" s="140"/>
      <c r="C55" s="51" t="s">
        <v>13</v>
      </c>
      <c r="D55" s="1">
        <f>E55+F55+G55+H55+I55+J55</f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75" x14ac:dyDescent="0.2">
      <c r="A56" s="108" t="s">
        <v>96</v>
      </c>
      <c r="B56" s="103" t="s">
        <v>88</v>
      </c>
      <c r="C56" s="51" t="s">
        <v>7</v>
      </c>
      <c r="D56" s="1">
        <f>E56+F56+G56+H56+I56+J56+K56+L56+M56+N56+O56</f>
        <v>5540</v>
      </c>
      <c r="E56" s="1">
        <f t="shared" ref="E56:K56" si="43">E57+E58+E59+E60</f>
        <v>5540</v>
      </c>
      <c r="F56" s="1">
        <f t="shared" si="43"/>
        <v>0</v>
      </c>
      <c r="G56" s="1">
        <f t="shared" si="43"/>
        <v>0</v>
      </c>
      <c r="H56" s="1">
        <f t="shared" si="43"/>
        <v>0</v>
      </c>
      <c r="I56" s="1">
        <f t="shared" si="43"/>
        <v>0</v>
      </c>
      <c r="J56" s="1">
        <f t="shared" si="43"/>
        <v>0</v>
      </c>
      <c r="K56" s="1">
        <f t="shared" si="43"/>
        <v>0</v>
      </c>
      <c r="L56" s="1">
        <f>L57+L58+L59+L60</f>
        <v>0</v>
      </c>
      <c r="M56" s="1">
        <f>M57+M58+M59+M60</f>
        <v>0</v>
      </c>
      <c r="N56" s="1">
        <f>N57+N58+N59+N60</f>
        <v>0</v>
      </c>
      <c r="O56" s="1">
        <f>O57+O58+O59+O60</f>
        <v>0</v>
      </c>
    </row>
    <row r="57" spans="1:17" ht="17.25" customHeight="1" x14ac:dyDescent="0.2">
      <c r="A57" s="108"/>
      <c r="B57" s="103"/>
      <c r="C57" s="51" t="s">
        <v>10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08"/>
      <c r="B58" s="103"/>
      <c r="C58" s="51" t="s">
        <v>11</v>
      </c>
      <c r="D58" s="1">
        <f>E58+F58+G58+H58+I58+J58+K58+L58+M58+N58+O58</f>
        <v>5000</v>
      </c>
      <c r="E58" s="1">
        <v>5000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</row>
    <row r="59" spans="1:17" ht="15.75" x14ac:dyDescent="0.2">
      <c r="A59" s="108"/>
      <c r="B59" s="103"/>
      <c r="C59" s="51" t="s">
        <v>12</v>
      </c>
      <c r="D59" s="1">
        <f>E59+F59+G59+H59+I59+J59+K59+L59+M59+N59+O59</f>
        <v>540</v>
      </c>
      <c r="E59" s="1">
        <v>540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19.5" customHeight="1" x14ac:dyDescent="0.2">
      <c r="A60" s="108"/>
      <c r="B60" s="103"/>
      <c r="C60" s="51" t="s">
        <v>13</v>
      </c>
      <c r="D60" s="1">
        <f>E60+F60+G60+H60+I60+J60+K60+L60+M60+N60+O60</f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</row>
    <row r="61" spans="1:17" ht="15.75" x14ac:dyDescent="0.2">
      <c r="A61" s="108" t="s">
        <v>97</v>
      </c>
      <c r="B61" s="138" t="s">
        <v>421</v>
      </c>
      <c r="C61" s="51" t="s">
        <v>7</v>
      </c>
      <c r="D61" s="1">
        <f>E61+F61+G61+H61+I61+J61</f>
        <v>103147.9</v>
      </c>
      <c r="E61" s="1">
        <f>E62+E64+E65+E67</f>
        <v>101289</v>
      </c>
      <c r="F61" s="1">
        <f>F62+F64+F65+F67</f>
        <v>1200</v>
      </c>
      <c r="G61" s="1">
        <f t="shared" ref="G61:O61" si="44">G62+G64+G65+G67</f>
        <v>0</v>
      </c>
      <c r="H61" s="1">
        <f t="shared" si="44"/>
        <v>600</v>
      </c>
      <c r="I61" s="1">
        <f t="shared" si="44"/>
        <v>35.5</v>
      </c>
      <c r="J61" s="1">
        <f t="shared" si="44"/>
        <v>23.4</v>
      </c>
      <c r="K61" s="1">
        <f t="shared" si="44"/>
        <v>0</v>
      </c>
      <c r="L61" s="1">
        <f t="shared" si="44"/>
        <v>153.6</v>
      </c>
      <c r="M61" s="1">
        <f t="shared" si="44"/>
        <v>180</v>
      </c>
      <c r="N61" s="1">
        <f t="shared" si="44"/>
        <v>0</v>
      </c>
      <c r="O61" s="1">
        <f t="shared" si="44"/>
        <v>0</v>
      </c>
      <c r="P61" s="61">
        <v>35.4</v>
      </c>
      <c r="Q61" s="70">
        <f>I61-P61</f>
        <v>0.10000000000000142</v>
      </c>
    </row>
    <row r="62" spans="1:17" ht="31.5" x14ac:dyDescent="0.2">
      <c r="A62" s="108"/>
      <c r="B62" s="139"/>
      <c r="C62" s="51" t="s">
        <v>80</v>
      </c>
      <c r="D62" s="1">
        <f t="shared" ref="D62:D67" si="45">E62+F62+G62+H62+I62+J62+K62+L62+M62+N62+O62</f>
        <v>98793.9</v>
      </c>
      <c r="E62" s="1">
        <f>E63</f>
        <v>98793.9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</row>
    <row r="63" spans="1:17" ht="31.5" x14ac:dyDescent="0.2">
      <c r="A63" s="108"/>
      <c r="B63" s="139"/>
      <c r="C63" s="76" t="s">
        <v>81</v>
      </c>
      <c r="D63" s="1">
        <f t="shared" si="45"/>
        <v>98793.9</v>
      </c>
      <c r="E63" s="73">
        <v>98793.9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3">
        <v>0</v>
      </c>
    </row>
    <row r="64" spans="1:17" ht="15.75" x14ac:dyDescent="0.2">
      <c r="A64" s="108"/>
      <c r="B64" s="139"/>
      <c r="C64" s="51" t="s">
        <v>11</v>
      </c>
      <c r="D64" s="1">
        <f t="shared" si="45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63">
        <f>D62+D64+D65+D67</f>
        <v>103481.5</v>
      </c>
      <c r="Q64" s="63"/>
    </row>
    <row r="65" spans="1:15" ht="15.75" x14ac:dyDescent="0.2">
      <c r="A65" s="108"/>
      <c r="B65" s="139"/>
      <c r="C65" s="51" t="s">
        <v>12</v>
      </c>
      <c r="D65" s="1">
        <f t="shared" si="45"/>
        <v>4687.6000000000004</v>
      </c>
      <c r="E65" s="1">
        <v>2495.1</v>
      </c>
      <c r="F65" s="1">
        <v>1200</v>
      </c>
      <c r="G65" s="1">
        <v>0</v>
      </c>
      <c r="H65" s="1">
        <v>600</v>
      </c>
      <c r="I65" s="1">
        <v>35.5</v>
      </c>
      <c r="J65" s="1">
        <f>0+23.4</f>
        <v>23.4</v>
      </c>
      <c r="K65" s="1">
        <v>0</v>
      </c>
      <c r="L65" s="1">
        <f>221.5-67.9</f>
        <v>153.6</v>
      </c>
      <c r="M65" s="57">
        <v>180</v>
      </c>
      <c r="N65" s="1">
        <v>0</v>
      </c>
      <c r="O65" s="1">
        <v>0</v>
      </c>
    </row>
    <row r="66" spans="1:15" ht="31.5" x14ac:dyDescent="0.2">
      <c r="A66" s="108"/>
      <c r="B66" s="139"/>
      <c r="C66" s="76" t="s">
        <v>79</v>
      </c>
      <c r="D66" s="73">
        <f t="shared" si="45"/>
        <v>1200</v>
      </c>
      <c r="E66" s="73">
        <v>0</v>
      </c>
      <c r="F66" s="73">
        <v>1200</v>
      </c>
      <c r="G66" s="73">
        <v>0</v>
      </c>
      <c r="H66" s="73">
        <v>0</v>
      </c>
      <c r="I66" s="73">
        <v>0</v>
      </c>
      <c r="J66" s="73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21" customHeight="1" x14ac:dyDescent="0.2">
      <c r="A67" s="108"/>
      <c r="B67" s="140"/>
      <c r="C67" s="51" t="s">
        <v>13</v>
      </c>
      <c r="D67" s="1">
        <f t="shared" si="45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15.75" x14ac:dyDescent="0.2">
      <c r="A68" s="108" t="s">
        <v>98</v>
      </c>
      <c r="B68" s="103" t="s">
        <v>61</v>
      </c>
      <c r="C68" s="51" t="s">
        <v>7</v>
      </c>
      <c r="D68" s="1">
        <f>D69+D70+D71+D73</f>
        <v>2863</v>
      </c>
      <c r="E68" s="1">
        <f t="shared" ref="E68:K68" si="46">E69+E70+E71+E73</f>
        <v>2863</v>
      </c>
      <c r="F68" s="1">
        <f t="shared" si="46"/>
        <v>0</v>
      </c>
      <c r="G68" s="1">
        <f t="shared" si="46"/>
        <v>0</v>
      </c>
      <c r="H68" s="1">
        <f t="shared" si="46"/>
        <v>0</v>
      </c>
      <c r="I68" s="1">
        <f t="shared" si="46"/>
        <v>0</v>
      </c>
      <c r="J68" s="1">
        <f t="shared" si="46"/>
        <v>0</v>
      </c>
      <c r="K68" s="1">
        <f t="shared" si="46"/>
        <v>0</v>
      </c>
      <c r="L68" s="1">
        <f>L69+L70+L71+L73</f>
        <v>0</v>
      </c>
      <c r="M68" s="1">
        <f>M69+M70+M71+M73</f>
        <v>0</v>
      </c>
      <c r="N68" s="1">
        <f>N69+N70+N71+N73</f>
        <v>0</v>
      </c>
      <c r="O68" s="1">
        <f>O69+O70+O71+O73</f>
        <v>0</v>
      </c>
    </row>
    <row r="69" spans="1:15" ht="15.75" x14ac:dyDescent="0.2">
      <c r="A69" s="108"/>
      <c r="B69" s="103"/>
      <c r="C69" s="51" t="s">
        <v>10</v>
      </c>
      <c r="D69" s="1">
        <f>E69+F69+G69+H69+I69+J69+K69+L69+M69+N69+O69</f>
        <v>0</v>
      </c>
      <c r="E69" s="1">
        <f>F69+G69+H69+I69+J69</f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</row>
    <row r="70" spans="1:15" ht="15.75" x14ac:dyDescent="0.2">
      <c r="A70" s="108"/>
      <c r="B70" s="103"/>
      <c r="C70" s="51" t="s">
        <v>11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31.5" x14ac:dyDescent="0.2">
      <c r="A71" s="108"/>
      <c r="B71" s="103"/>
      <c r="C71" s="51" t="s">
        <v>65</v>
      </c>
      <c r="D71" s="1">
        <f>E71+F71+G71+H71+I71+J71+K71+L71+M71+N71+O71</f>
        <v>2863</v>
      </c>
      <c r="E71" s="1">
        <v>2863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</row>
    <row r="72" spans="1:15" ht="33" customHeight="1" x14ac:dyDescent="0.2">
      <c r="A72" s="108"/>
      <c r="B72" s="103"/>
      <c r="C72" s="76" t="s">
        <v>79</v>
      </c>
      <c r="D72" s="1">
        <f>E72+F72+G72+H72+I72+J72+K72+L72+M72+N72+O72</f>
        <v>2863</v>
      </c>
      <c r="E72" s="73">
        <v>2863</v>
      </c>
      <c r="F72" s="73">
        <v>0</v>
      </c>
      <c r="G72" s="73">
        <v>0</v>
      </c>
      <c r="H72" s="73">
        <v>0</v>
      </c>
      <c r="I72" s="73">
        <v>0</v>
      </c>
      <c r="J72" s="73">
        <v>0</v>
      </c>
      <c r="K72" s="1">
        <v>0</v>
      </c>
      <c r="L72" s="73">
        <v>0</v>
      </c>
      <c r="M72" s="73">
        <v>0</v>
      </c>
      <c r="N72" s="73">
        <v>0</v>
      </c>
      <c r="O72" s="1">
        <v>0</v>
      </c>
    </row>
    <row r="73" spans="1:15" ht="20.25" customHeight="1" x14ac:dyDescent="0.2">
      <c r="A73" s="108"/>
      <c r="B73" s="103"/>
      <c r="C73" s="51" t="s">
        <v>13</v>
      </c>
      <c r="D73" s="1">
        <f>E73+F73+G73+H73+I73+J73+K73+L73+M73+N73+O73</f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15.75" x14ac:dyDescent="0.2">
      <c r="A74" s="108" t="s">
        <v>99</v>
      </c>
      <c r="B74" s="103" t="s">
        <v>138</v>
      </c>
      <c r="C74" s="51" t="s">
        <v>7</v>
      </c>
      <c r="D74" s="1">
        <f t="shared" ref="D74:K74" si="47">D75+D76+D78+D80</f>
        <v>19253.100000000002</v>
      </c>
      <c r="E74" s="1">
        <f t="shared" si="47"/>
        <v>19253.100000000002</v>
      </c>
      <c r="F74" s="1">
        <f t="shared" si="47"/>
        <v>0</v>
      </c>
      <c r="G74" s="1">
        <f t="shared" si="47"/>
        <v>0</v>
      </c>
      <c r="H74" s="1">
        <f t="shared" si="47"/>
        <v>0</v>
      </c>
      <c r="I74" s="1">
        <f t="shared" si="47"/>
        <v>0</v>
      </c>
      <c r="J74" s="1">
        <f t="shared" si="47"/>
        <v>0</v>
      </c>
      <c r="K74" s="1">
        <f t="shared" si="47"/>
        <v>0</v>
      </c>
      <c r="L74" s="1">
        <f>L75+L76+L78+L80</f>
        <v>0</v>
      </c>
      <c r="M74" s="1">
        <f>M75+M76+M78+M80</f>
        <v>0</v>
      </c>
      <c r="N74" s="1">
        <f>N75+N76+N78+N80</f>
        <v>0</v>
      </c>
      <c r="O74" s="1">
        <f>O75+O76+O78+O80</f>
        <v>0</v>
      </c>
    </row>
    <row r="75" spans="1:15" ht="15.75" x14ac:dyDescent="0.2">
      <c r="A75" s="108"/>
      <c r="B75" s="103"/>
      <c r="C75" s="51" t="s">
        <v>10</v>
      </c>
      <c r="D75" s="1">
        <f>E75+F75+G75+H75+I75+J75</f>
        <v>0</v>
      </c>
      <c r="E75" s="1">
        <f>F75+G75+H75+I75+J75</f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3" customHeight="1" x14ac:dyDescent="0.2">
      <c r="A76" s="108"/>
      <c r="B76" s="103"/>
      <c r="C76" s="51" t="s">
        <v>69</v>
      </c>
      <c r="D76" s="1">
        <f>E76+F76+G76+H76+I76+J76</f>
        <v>18290.400000000001</v>
      </c>
      <c r="E76" s="1">
        <v>18290.400000000001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5" ht="32.25" customHeight="1" x14ac:dyDescent="0.2">
      <c r="A77" s="108"/>
      <c r="B77" s="103"/>
      <c r="C77" s="76" t="s">
        <v>79</v>
      </c>
      <c r="D77" s="73">
        <f>E77</f>
        <v>18290.400000000001</v>
      </c>
      <c r="E77" s="73">
        <v>18290.400000000001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1">
        <v>0</v>
      </c>
      <c r="L77" s="73">
        <v>0</v>
      </c>
      <c r="M77" s="73">
        <v>0</v>
      </c>
      <c r="N77" s="73">
        <v>0</v>
      </c>
      <c r="O77" s="1">
        <v>0</v>
      </c>
    </row>
    <row r="78" spans="1:15" ht="33.75" customHeight="1" x14ac:dyDescent="0.2">
      <c r="A78" s="108"/>
      <c r="B78" s="103"/>
      <c r="C78" s="51" t="s">
        <v>65</v>
      </c>
      <c r="D78" s="1">
        <f>E78+F78+G78+H78+I78+J78</f>
        <v>962.7</v>
      </c>
      <c r="E78" s="1">
        <v>962.7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</row>
    <row r="79" spans="1:15" ht="30.75" customHeight="1" x14ac:dyDescent="0.2">
      <c r="A79" s="108"/>
      <c r="B79" s="103"/>
      <c r="C79" s="76" t="s">
        <v>79</v>
      </c>
      <c r="D79" s="73">
        <f>E79</f>
        <v>962.7</v>
      </c>
      <c r="E79" s="73">
        <v>962.7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1">
        <v>0</v>
      </c>
      <c r="L79" s="73">
        <v>0</v>
      </c>
      <c r="M79" s="73">
        <v>0</v>
      </c>
      <c r="N79" s="73">
        <v>0</v>
      </c>
      <c r="O79" s="1">
        <v>0</v>
      </c>
    </row>
    <row r="80" spans="1:15" ht="18.75" customHeight="1" x14ac:dyDescent="0.2">
      <c r="A80" s="108"/>
      <c r="B80" s="103"/>
      <c r="C80" s="51" t="s">
        <v>13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15.75" x14ac:dyDescent="0.2">
      <c r="A81" s="108" t="s">
        <v>100</v>
      </c>
      <c r="B81" s="138" t="s">
        <v>68</v>
      </c>
      <c r="C81" s="51" t="s">
        <v>7</v>
      </c>
      <c r="D81" s="1">
        <f t="shared" ref="D81:I81" si="48">D82+D83+D84+D86</f>
        <v>79.5</v>
      </c>
      <c r="E81" s="1">
        <f t="shared" si="48"/>
        <v>79.5</v>
      </c>
      <c r="F81" s="1">
        <f t="shared" si="48"/>
        <v>0</v>
      </c>
      <c r="G81" s="1">
        <f t="shared" si="48"/>
        <v>0</v>
      </c>
      <c r="H81" s="1">
        <f t="shared" si="48"/>
        <v>0</v>
      </c>
      <c r="I81" s="1">
        <f t="shared" si="48"/>
        <v>0</v>
      </c>
      <c r="J81" s="1">
        <f t="shared" ref="J81:O81" si="49">J82+J83+J84+J86</f>
        <v>0</v>
      </c>
      <c r="K81" s="1">
        <f t="shared" si="49"/>
        <v>0</v>
      </c>
      <c r="L81" s="1">
        <f t="shared" si="49"/>
        <v>0</v>
      </c>
      <c r="M81" s="1">
        <f t="shared" si="49"/>
        <v>0</v>
      </c>
      <c r="N81" s="1">
        <f t="shared" si="49"/>
        <v>0</v>
      </c>
      <c r="O81" s="1">
        <f t="shared" si="49"/>
        <v>0</v>
      </c>
    </row>
    <row r="82" spans="1:15" ht="18.75" customHeight="1" x14ac:dyDescent="0.2">
      <c r="A82" s="108"/>
      <c r="B82" s="139"/>
      <c r="C82" s="51" t="s">
        <v>10</v>
      </c>
      <c r="D82" s="1">
        <f>E82+F82+G82+H82+I82+J82</f>
        <v>0</v>
      </c>
      <c r="E82" s="1">
        <f>F82+G82+H82+I82+J82</f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</row>
    <row r="83" spans="1:15" ht="16.5" customHeight="1" x14ac:dyDescent="0.2">
      <c r="A83" s="108"/>
      <c r="B83" s="139"/>
      <c r="C83" s="51" t="s">
        <v>11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31.5" x14ac:dyDescent="0.2">
      <c r="A84" s="108"/>
      <c r="B84" s="139"/>
      <c r="C84" s="51" t="s">
        <v>65</v>
      </c>
      <c r="D84" s="1">
        <f>E84+F84+G84+H84+I84+J84</f>
        <v>79.5</v>
      </c>
      <c r="E84" s="1">
        <v>79.5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15" ht="30.75" customHeight="1" x14ac:dyDescent="0.2">
      <c r="A85" s="108"/>
      <c r="B85" s="139"/>
      <c r="C85" s="76" t="s">
        <v>79</v>
      </c>
      <c r="D85" s="73">
        <f>E85</f>
        <v>79.5</v>
      </c>
      <c r="E85" s="73">
        <v>79.5</v>
      </c>
      <c r="F85" s="73">
        <v>0</v>
      </c>
      <c r="G85" s="73">
        <v>0</v>
      </c>
      <c r="H85" s="73">
        <v>0</v>
      </c>
      <c r="I85" s="73">
        <v>0</v>
      </c>
      <c r="J85" s="73">
        <v>0</v>
      </c>
      <c r="K85" s="1">
        <v>0</v>
      </c>
      <c r="L85" s="73">
        <v>0</v>
      </c>
      <c r="M85" s="73">
        <v>0</v>
      </c>
      <c r="N85" s="73">
        <v>0</v>
      </c>
      <c r="O85" s="1">
        <v>0</v>
      </c>
    </row>
    <row r="86" spans="1:15" ht="19.5" customHeight="1" x14ac:dyDescent="0.2">
      <c r="A86" s="108"/>
      <c r="B86" s="140"/>
      <c r="C86" s="51" t="s">
        <v>13</v>
      </c>
      <c r="D86" s="1">
        <f>E86+F86+G86+H86+I86+J86</f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75" x14ac:dyDescent="0.2">
      <c r="A87" s="108" t="s">
        <v>101</v>
      </c>
      <c r="B87" s="103" t="s">
        <v>70</v>
      </c>
      <c r="C87" s="51" t="s">
        <v>7</v>
      </c>
      <c r="D87" s="1">
        <f t="shared" ref="D87:K87" si="50">D89+D90+D91+D93</f>
        <v>31.7</v>
      </c>
      <c r="E87" s="1">
        <f t="shared" si="50"/>
        <v>31.7</v>
      </c>
      <c r="F87" s="1">
        <f t="shared" si="50"/>
        <v>0</v>
      </c>
      <c r="G87" s="1">
        <f t="shared" si="50"/>
        <v>0</v>
      </c>
      <c r="H87" s="1">
        <f t="shared" si="50"/>
        <v>0</v>
      </c>
      <c r="I87" s="1">
        <f t="shared" si="50"/>
        <v>0</v>
      </c>
      <c r="J87" s="1">
        <f t="shared" si="50"/>
        <v>0</v>
      </c>
      <c r="K87" s="1">
        <f t="shared" si="50"/>
        <v>0</v>
      </c>
      <c r="L87" s="1">
        <f>L89+L90+L91+L93</f>
        <v>0</v>
      </c>
      <c r="M87" s="1">
        <f>M89+M90+M91+M93</f>
        <v>0</v>
      </c>
      <c r="N87" s="1">
        <f>N89+N90+N91+N93</f>
        <v>0</v>
      </c>
      <c r="O87" s="1">
        <f>O89+O90+O91+O93</f>
        <v>0</v>
      </c>
    </row>
    <row r="88" spans="1:15" ht="31.5" x14ac:dyDescent="0.2">
      <c r="A88" s="108"/>
      <c r="B88" s="103"/>
      <c r="C88" s="76" t="s">
        <v>79</v>
      </c>
      <c r="D88" s="73">
        <f>E88</f>
        <v>31.7</v>
      </c>
      <c r="E88" s="73">
        <f>E92</f>
        <v>31.7</v>
      </c>
      <c r="F88" s="73">
        <v>0</v>
      </c>
      <c r="G88" s="73">
        <v>0</v>
      </c>
      <c r="H88" s="73">
        <v>0</v>
      </c>
      <c r="I88" s="73">
        <v>0</v>
      </c>
      <c r="J88" s="73">
        <v>0</v>
      </c>
      <c r="K88" s="73">
        <v>0</v>
      </c>
      <c r="L88" s="73">
        <v>0</v>
      </c>
      <c r="M88" s="73">
        <v>0</v>
      </c>
      <c r="N88" s="73">
        <v>0</v>
      </c>
      <c r="O88" s="73">
        <v>0</v>
      </c>
    </row>
    <row r="89" spans="1:15" ht="15.75" x14ac:dyDescent="0.2">
      <c r="A89" s="108"/>
      <c r="B89" s="103"/>
      <c r="C89" s="51" t="s">
        <v>10</v>
      </c>
      <c r="D89" s="1">
        <f>E89+F89+G89+H89+I89+J89</f>
        <v>0</v>
      </c>
      <c r="E89" s="1">
        <f>F89+G89+H89+I89+J89</f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15" ht="15.75" x14ac:dyDescent="0.2">
      <c r="A90" s="108"/>
      <c r="B90" s="103"/>
      <c r="C90" s="51" t="s">
        <v>11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32.25" customHeight="1" x14ac:dyDescent="0.2">
      <c r="A91" s="108"/>
      <c r="B91" s="103"/>
      <c r="C91" s="51" t="s">
        <v>65</v>
      </c>
      <c r="D91" s="1">
        <f>E91+F91+G91+H91+I91+J91</f>
        <v>31.7</v>
      </c>
      <c r="E91" s="1">
        <v>31.7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15" ht="31.5" customHeight="1" x14ac:dyDescent="0.2">
      <c r="A92" s="108"/>
      <c r="B92" s="103"/>
      <c r="C92" s="76" t="s">
        <v>79</v>
      </c>
      <c r="D92" s="73">
        <f>E92</f>
        <v>31.7</v>
      </c>
      <c r="E92" s="73">
        <v>31.7</v>
      </c>
      <c r="F92" s="73">
        <v>0</v>
      </c>
      <c r="G92" s="73">
        <v>0</v>
      </c>
      <c r="H92" s="73">
        <v>0</v>
      </c>
      <c r="I92" s="73">
        <v>0</v>
      </c>
      <c r="J92" s="73">
        <v>0</v>
      </c>
      <c r="K92" s="1">
        <v>0</v>
      </c>
      <c r="L92" s="73">
        <v>0</v>
      </c>
      <c r="M92" s="73">
        <v>0</v>
      </c>
      <c r="N92" s="73">
        <v>0</v>
      </c>
      <c r="O92" s="1">
        <v>0</v>
      </c>
    </row>
    <row r="93" spans="1:15" ht="18" customHeight="1" x14ac:dyDescent="0.2">
      <c r="A93" s="108"/>
      <c r="B93" s="103"/>
      <c r="C93" s="51" t="s">
        <v>13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15.75" x14ac:dyDescent="0.2">
      <c r="A94" s="108" t="s">
        <v>102</v>
      </c>
      <c r="B94" s="108" t="s">
        <v>208</v>
      </c>
      <c r="C94" s="51" t="s">
        <v>7</v>
      </c>
      <c r="D94" s="1">
        <f t="shared" ref="D94:K94" si="51">D95+D96+D97+D99</f>
        <v>7.8</v>
      </c>
      <c r="E94" s="1">
        <f t="shared" si="51"/>
        <v>7.8</v>
      </c>
      <c r="F94" s="1">
        <f t="shared" si="51"/>
        <v>0</v>
      </c>
      <c r="G94" s="1">
        <f t="shared" si="51"/>
        <v>0</v>
      </c>
      <c r="H94" s="1">
        <f t="shared" si="51"/>
        <v>0</v>
      </c>
      <c r="I94" s="1">
        <f t="shared" si="51"/>
        <v>0</v>
      </c>
      <c r="J94" s="1">
        <f t="shared" si="51"/>
        <v>0</v>
      </c>
      <c r="K94" s="1">
        <f t="shared" si="51"/>
        <v>0</v>
      </c>
      <c r="L94" s="1">
        <f>L96+L97+L98+L100</f>
        <v>0</v>
      </c>
      <c r="M94" s="1">
        <f>M96+M97+M98+M100</f>
        <v>0</v>
      </c>
      <c r="N94" s="1">
        <f>N96+N97+N98+N100</f>
        <v>0</v>
      </c>
      <c r="O94" s="1">
        <f>O96+O97+O98+O100</f>
        <v>0</v>
      </c>
    </row>
    <row r="95" spans="1:15" ht="15.75" x14ac:dyDescent="0.2">
      <c r="A95" s="108"/>
      <c r="B95" s="108"/>
      <c r="C95" s="51" t="s">
        <v>10</v>
      </c>
      <c r="D95" s="1">
        <f>E95+F95+G95+H95+I95+J95</f>
        <v>0</v>
      </c>
      <c r="E95" s="1">
        <f>F95+G95+H95+I95+J95</f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73">
        <v>0</v>
      </c>
      <c r="M95" s="73">
        <v>0</v>
      </c>
      <c r="N95" s="73">
        <v>0</v>
      </c>
      <c r="O95" s="73">
        <v>0</v>
      </c>
    </row>
    <row r="96" spans="1:15" ht="18" customHeight="1" x14ac:dyDescent="0.2">
      <c r="A96" s="108"/>
      <c r="B96" s="108"/>
      <c r="C96" s="51" t="s">
        <v>11</v>
      </c>
      <c r="D96" s="1">
        <f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</row>
    <row r="97" spans="1:15" ht="31.5" x14ac:dyDescent="0.2">
      <c r="A97" s="108"/>
      <c r="B97" s="108"/>
      <c r="C97" s="51" t="s">
        <v>65</v>
      </c>
      <c r="D97" s="1">
        <f>E97+F97+G97+H97+I97+J97</f>
        <v>7.8</v>
      </c>
      <c r="E97" s="1">
        <v>7.8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31.5" customHeight="1" x14ac:dyDescent="0.2">
      <c r="A98" s="108"/>
      <c r="B98" s="108"/>
      <c r="C98" s="76" t="s">
        <v>79</v>
      </c>
      <c r="D98" s="73">
        <f>E98</f>
        <v>7.8</v>
      </c>
      <c r="E98" s="73">
        <v>7.8</v>
      </c>
      <c r="F98" s="73">
        <v>0</v>
      </c>
      <c r="G98" s="73">
        <v>0</v>
      </c>
      <c r="H98" s="73">
        <v>0</v>
      </c>
      <c r="I98" s="73">
        <v>0</v>
      </c>
      <c r="J98" s="73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18" customHeight="1" x14ac:dyDescent="0.2">
      <c r="A99" s="108"/>
      <c r="B99" s="108"/>
      <c r="C99" s="51" t="s">
        <v>13</v>
      </c>
      <c r="D99" s="1">
        <f t="shared" ref="D99:D107" si="52">E99+F99+G99+H99+I99+J99</f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73">
        <v>0</v>
      </c>
      <c r="M99" s="73">
        <v>0</v>
      </c>
      <c r="N99" s="73">
        <v>0</v>
      </c>
      <c r="O99" s="1">
        <v>0</v>
      </c>
    </row>
    <row r="100" spans="1:15" ht="15.75" x14ac:dyDescent="0.2">
      <c r="A100" s="108" t="s">
        <v>103</v>
      </c>
      <c r="B100" s="103" t="s">
        <v>234</v>
      </c>
      <c r="C100" s="51" t="s">
        <v>7</v>
      </c>
      <c r="D100" s="1">
        <f t="shared" si="52"/>
        <v>12272.3</v>
      </c>
      <c r="E100" s="1">
        <f t="shared" ref="E100:K100" si="53">E101+E102+E104+E105</f>
        <v>12243.8</v>
      </c>
      <c r="F100" s="1">
        <f t="shared" si="53"/>
        <v>17.5</v>
      </c>
      <c r="G100" s="1">
        <f t="shared" si="53"/>
        <v>11</v>
      </c>
      <c r="H100" s="1">
        <f t="shared" si="53"/>
        <v>0</v>
      </c>
      <c r="I100" s="1">
        <f t="shared" si="53"/>
        <v>0</v>
      </c>
      <c r="J100" s="1">
        <f t="shared" si="53"/>
        <v>0</v>
      </c>
      <c r="K100" s="1">
        <f t="shared" si="53"/>
        <v>0</v>
      </c>
      <c r="L100" s="1">
        <v>0</v>
      </c>
      <c r="M100" s="1">
        <v>0</v>
      </c>
      <c r="N100" s="1">
        <v>0</v>
      </c>
      <c r="O100" s="1">
        <v>0</v>
      </c>
    </row>
    <row r="101" spans="1:15" ht="15.75" x14ac:dyDescent="0.2">
      <c r="A101" s="113"/>
      <c r="B101" s="103"/>
      <c r="C101" s="51" t="s">
        <v>10</v>
      </c>
      <c r="D101" s="1">
        <f t="shared" si="52"/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31.5" x14ac:dyDescent="0.2">
      <c r="A102" s="113"/>
      <c r="B102" s="103"/>
      <c r="C102" s="51" t="s">
        <v>69</v>
      </c>
      <c r="D102" s="1">
        <f t="shared" si="52"/>
        <v>9842.7999999999993</v>
      </c>
      <c r="E102" s="1">
        <v>9842.7999999999993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31.5" customHeight="1" x14ac:dyDescent="0.2">
      <c r="A103" s="113"/>
      <c r="B103" s="103"/>
      <c r="C103" s="76" t="s">
        <v>81</v>
      </c>
      <c r="D103" s="73">
        <f t="shared" si="52"/>
        <v>9842.7999999999993</v>
      </c>
      <c r="E103" s="73">
        <v>9842.7999999999993</v>
      </c>
      <c r="F103" s="73">
        <v>0</v>
      </c>
      <c r="G103" s="73">
        <v>0</v>
      </c>
      <c r="H103" s="73">
        <v>0</v>
      </c>
      <c r="I103" s="73">
        <v>0</v>
      </c>
      <c r="J103" s="73">
        <v>0</v>
      </c>
      <c r="K103" s="1">
        <v>0</v>
      </c>
      <c r="L103" s="73">
        <v>0</v>
      </c>
      <c r="M103" s="73">
        <v>0</v>
      </c>
      <c r="N103" s="73">
        <v>0</v>
      </c>
      <c r="O103" s="1">
        <v>0</v>
      </c>
    </row>
    <row r="104" spans="1:15" ht="16.5" customHeight="1" x14ac:dyDescent="0.2">
      <c r="A104" s="113"/>
      <c r="B104" s="103"/>
      <c r="C104" s="51" t="s">
        <v>12</v>
      </c>
      <c r="D104" s="1">
        <f t="shared" si="52"/>
        <v>2429.5</v>
      </c>
      <c r="E104" s="1">
        <v>2401</v>
      </c>
      <c r="F104" s="1">
        <v>17.5</v>
      </c>
      <c r="G104" s="1">
        <v>11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</row>
    <row r="105" spans="1:15" ht="18.75" customHeight="1" x14ac:dyDescent="0.2">
      <c r="A105" s="113"/>
      <c r="B105" s="103"/>
      <c r="C105" s="51" t="s">
        <v>13</v>
      </c>
      <c r="D105" s="1">
        <f t="shared" si="52"/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75" x14ac:dyDescent="0.2">
      <c r="A106" s="97" t="s">
        <v>104</v>
      </c>
      <c r="B106" s="138" t="s">
        <v>139</v>
      </c>
      <c r="C106" s="51" t="s">
        <v>7</v>
      </c>
      <c r="D106" s="1">
        <f t="shared" si="52"/>
        <v>1053.9000000000001</v>
      </c>
      <c r="E106" s="1">
        <f>E109+E108+E110+E112</f>
        <v>1053.9000000000001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5.25" customHeight="1" x14ac:dyDescent="0.2">
      <c r="A107" s="98"/>
      <c r="B107" s="139"/>
      <c r="C107" s="76" t="s">
        <v>79</v>
      </c>
      <c r="D107" s="73">
        <f t="shared" si="52"/>
        <v>1053.9000000000001</v>
      </c>
      <c r="E107" s="73">
        <f>E111</f>
        <v>1053.9000000000001</v>
      </c>
      <c r="F107" s="73">
        <v>0</v>
      </c>
      <c r="G107" s="73">
        <v>0</v>
      </c>
      <c r="H107" s="73">
        <v>0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</row>
    <row r="108" spans="1:15" ht="15.75" x14ac:dyDescent="0.2">
      <c r="A108" s="130"/>
      <c r="B108" s="139"/>
      <c r="C108" s="51" t="s">
        <v>10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</row>
    <row r="109" spans="1:15" ht="15.75" x14ac:dyDescent="0.2">
      <c r="A109" s="130"/>
      <c r="B109" s="139"/>
      <c r="C109" s="51" t="s">
        <v>11</v>
      </c>
      <c r="D109" s="73">
        <f>E109+F109+G109+H109+I109+J109</f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31.5" x14ac:dyDescent="0.2">
      <c r="A110" s="130"/>
      <c r="B110" s="139"/>
      <c r="C110" s="51" t="s">
        <v>65</v>
      </c>
      <c r="D110" s="1">
        <f>E110+F110+G110+H110+I110+J110</f>
        <v>1053.9000000000001</v>
      </c>
      <c r="E110" s="1">
        <f>E111</f>
        <v>1053.9000000000001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</row>
    <row r="111" spans="1:15" ht="31.5" customHeight="1" x14ac:dyDescent="0.2">
      <c r="A111" s="130"/>
      <c r="B111" s="139"/>
      <c r="C111" s="76" t="s">
        <v>79</v>
      </c>
      <c r="D111" s="73">
        <f>E111+F111+G111+H111+I111+J111</f>
        <v>1053.9000000000001</v>
      </c>
      <c r="E111" s="73">
        <v>1053.9000000000001</v>
      </c>
      <c r="F111" s="73">
        <v>0</v>
      </c>
      <c r="G111" s="73">
        <v>0</v>
      </c>
      <c r="H111" s="73">
        <v>0</v>
      </c>
      <c r="I111" s="73">
        <v>0</v>
      </c>
      <c r="J111" s="73">
        <v>0</v>
      </c>
      <c r="K111" s="1">
        <v>0</v>
      </c>
      <c r="L111" s="73">
        <v>0</v>
      </c>
      <c r="M111" s="73">
        <v>0</v>
      </c>
      <c r="N111" s="73">
        <v>0</v>
      </c>
      <c r="O111" s="1">
        <v>0</v>
      </c>
    </row>
    <row r="112" spans="1:15" ht="18" customHeight="1" x14ac:dyDescent="0.2">
      <c r="A112" s="131"/>
      <c r="B112" s="140"/>
      <c r="C112" s="51" t="s">
        <v>13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75" x14ac:dyDescent="0.2">
      <c r="A113" s="108" t="s">
        <v>105</v>
      </c>
      <c r="B113" s="97" t="s">
        <v>72</v>
      </c>
      <c r="C113" s="51" t="s">
        <v>7</v>
      </c>
      <c r="D113" s="1">
        <f>E113+F113+G113+H113+I113+J113</f>
        <v>92.2</v>
      </c>
      <c r="E113" s="1">
        <f t="shared" ref="E113:O113" si="54">E114</f>
        <v>92.2</v>
      </c>
      <c r="F113" s="1">
        <f t="shared" si="54"/>
        <v>0</v>
      </c>
      <c r="G113" s="1">
        <f t="shared" si="54"/>
        <v>0</v>
      </c>
      <c r="H113" s="1">
        <f t="shared" si="54"/>
        <v>0</v>
      </c>
      <c r="I113" s="1">
        <f t="shared" si="54"/>
        <v>0</v>
      </c>
      <c r="J113" s="1">
        <f t="shared" si="54"/>
        <v>0</v>
      </c>
      <c r="K113" s="1">
        <f t="shared" si="54"/>
        <v>0</v>
      </c>
      <c r="L113" s="1">
        <f t="shared" si="54"/>
        <v>0</v>
      </c>
      <c r="M113" s="1">
        <f t="shared" si="54"/>
        <v>0</v>
      </c>
      <c r="N113" s="1">
        <f t="shared" si="54"/>
        <v>0</v>
      </c>
      <c r="O113" s="1">
        <f t="shared" si="54"/>
        <v>0</v>
      </c>
    </row>
    <row r="114" spans="1:15" ht="31.5" customHeight="1" x14ac:dyDescent="0.2">
      <c r="A114" s="108"/>
      <c r="B114" s="98"/>
      <c r="C114" s="76" t="s">
        <v>79</v>
      </c>
      <c r="D114" s="73">
        <f>E114+F114+G114+H114+I114+J114</f>
        <v>92.2</v>
      </c>
      <c r="E114" s="73">
        <f t="shared" ref="E114:K114" si="55">E118</f>
        <v>92.2</v>
      </c>
      <c r="F114" s="73">
        <f t="shared" si="55"/>
        <v>0</v>
      </c>
      <c r="G114" s="73">
        <f t="shared" si="55"/>
        <v>0</v>
      </c>
      <c r="H114" s="73">
        <f t="shared" si="55"/>
        <v>0</v>
      </c>
      <c r="I114" s="73">
        <f t="shared" si="55"/>
        <v>0</v>
      </c>
      <c r="J114" s="73">
        <f t="shared" si="55"/>
        <v>0</v>
      </c>
      <c r="K114" s="73">
        <f t="shared" si="55"/>
        <v>0</v>
      </c>
      <c r="L114" s="73">
        <f>L118</f>
        <v>0</v>
      </c>
      <c r="M114" s="73">
        <f>M118</f>
        <v>0</v>
      </c>
      <c r="N114" s="73">
        <f>N118</f>
        <v>0</v>
      </c>
      <c r="O114" s="73">
        <f>O118</f>
        <v>0</v>
      </c>
    </row>
    <row r="115" spans="1:15" ht="15.75" x14ac:dyDescent="0.2">
      <c r="A115" s="113"/>
      <c r="B115" s="98"/>
      <c r="C115" s="51" t="s">
        <v>10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ht="15.75" x14ac:dyDescent="0.2">
      <c r="A116" s="113"/>
      <c r="B116" s="98"/>
      <c r="C116" s="51" t="s">
        <v>11</v>
      </c>
      <c r="D116" s="1">
        <f>E116+F116+G116+H116+I116+J116</f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31.5" x14ac:dyDescent="0.2">
      <c r="A117" s="113"/>
      <c r="B117" s="98"/>
      <c r="C117" s="51" t="s">
        <v>65</v>
      </c>
      <c r="D117" s="1">
        <f>E117+F117+G117+H117+I117+J117</f>
        <v>92.2</v>
      </c>
      <c r="E117" s="1">
        <f>E118</f>
        <v>92.2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</row>
    <row r="118" spans="1:15" ht="31.5" customHeight="1" x14ac:dyDescent="0.2">
      <c r="A118" s="113"/>
      <c r="B118" s="98"/>
      <c r="C118" s="76" t="s">
        <v>79</v>
      </c>
      <c r="D118" s="73">
        <f>E118</f>
        <v>92.2</v>
      </c>
      <c r="E118" s="73">
        <v>92.2</v>
      </c>
      <c r="F118" s="73">
        <v>0</v>
      </c>
      <c r="G118" s="73">
        <v>0</v>
      </c>
      <c r="H118" s="73">
        <v>0</v>
      </c>
      <c r="I118" s="73">
        <v>0</v>
      </c>
      <c r="J118" s="73">
        <v>0</v>
      </c>
      <c r="K118" s="1">
        <v>0</v>
      </c>
      <c r="L118" s="73">
        <v>0</v>
      </c>
      <c r="M118" s="73">
        <v>0</v>
      </c>
      <c r="N118" s="73">
        <v>0</v>
      </c>
      <c r="O118" s="1">
        <v>0</v>
      </c>
    </row>
    <row r="119" spans="1:15" ht="18.75" customHeight="1" x14ac:dyDescent="0.2">
      <c r="A119" s="113"/>
      <c r="B119" s="99"/>
      <c r="C119" s="51" t="s">
        <v>13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15.75" x14ac:dyDescent="0.2">
      <c r="A120" s="108" t="s">
        <v>106</v>
      </c>
      <c r="B120" s="108" t="s">
        <v>77</v>
      </c>
      <c r="C120" s="51" t="s">
        <v>7</v>
      </c>
      <c r="D120" s="1">
        <f>E120+F120+G120+H120+I120+J120</f>
        <v>1186.7</v>
      </c>
      <c r="E120" s="1">
        <f t="shared" ref="E120:O120" si="56">E121</f>
        <v>1186.7</v>
      </c>
      <c r="F120" s="1">
        <f t="shared" si="56"/>
        <v>0</v>
      </c>
      <c r="G120" s="1">
        <f t="shared" si="56"/>
        <v>0</v>
      </c>
      <c r="H120" s="1">
        <f t="shared" si="56"/>
        <v>0</v>
      </c>
      <c r="I120" s="1">
        <f t="shared" si="56"/>
        <v>0</v>
      </c>
      <c r="J120" s="1">
        <f t="shared" si="56"/>
        <v>0</v>
      </c>
      <c r="K120" s="1">
        <f t="shared" si="56"/>
        <v>0</v>
      </c>
      <c r="L120" s="1">
        <f t="shared" si="56"/>
        <v>0</v>
      </c>
      <c r="M120" s="1">
        <f t="shared" si="56"/>
        <v>0</v>
      </c>
      <c r="N120" s="1">
        <f t="shared" si="56"/>
        <v>0</v>
      </c>
      <c r="O120" s="1">
        <f t="shared" si="56"/>
        <v>0</v>
      </c>
    </row>
    <row r="121" spans="1:15" ht="31.5" x14ac:dyDescent="0.2">
      <c r="A121" s="108"/>
      <c r="B121" s="108"/>
      <c r="C121" s="76" t="s">
        <v>79</v>
      </c>
      <c r="D121" s="73">
        <f>E121+F121+G121+H121+I121+J121</f>
        <v>1186.7</v>
      </c>
      <c r="E121" s="73">
        <f t="shared" ref="E121:K121" si="57">E124+E126</f>
        <v>1186.7</v>
      </c>
      <c r="F121" s="73">
        <f t="shared" si="57"/>
        <v>0</v>
      </c>
      <c r="G121" s="73">
        <f t="shared" si="57"/>
        <v>0</v>
      </c>
      <c r="H121" s="73">
        <f t="shared" si="57"/>
        <v>0</v>
      </c>
      <c r="I121" s="73">
        <f t="shared" si="57"/>
        <v>0</v>
      </c>
      <c r="J121" s="73">
        <f t="shared" si="57"/>
        <v>0</v>
      </c>
      <c r="K121" s="73">
        <f t="shared" si="57"/>
        <v>0</v>
      </c>
      <c r="L121" s="73">
        <f>L124+L126</f>
        <v>0</v>
      </c>
      <c r="M121" s="73">
        <f>M124+M126</f>
        <v>0</v>
      </c>
      <c r="N121" s="73">
        <f>N124+N126</f>
        <v>0</v>
      </c>
      <c r="O121" s="73">
        <f>O124+O126</f>
        <v>0</v>
      </c>
    </row>
    <row r="122" spans="1:15" ht="15.75" x14ac:dyDescent="0.2">
      <c r="A122" s="113"/>
      <c r="B122" s="108"/>
      <c r="C122" s="51" t="s">
        <v>10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5" x14ac:dyDescent="0.2">
      <c r="A123" s="113"/>
      <c r="B123" s="108"/>
      <c r="C123" s="51" t="s">
        <v>69</v>
      </c>
      <c r="D123" s="1">
        <f>E123+F123+G123+H123+I123+J123</f>
        <v>619.70000000000005</v>
      </c>
      <c r="E123" s="1">
        <f t="shared" ref="E123:N123" si="58">E124</f>
        <v>619.70000000000005</v>
      </c>
      <c r="F123" s="1">
        <f t="shared" si="58"/>
        <v>0</v>
      </c>
      <c r="G123" s="1">
        <f t="shared" si="58"/>
        <v>0</v>
      </c>
      <c r="H123" s="1">
        <f t="shared" si="58"/>
        <v>0</v>
      </c>
      <c r="I123" s="1">
        <f t="shared" si="58"/>
        <v>0</v>
      </c>
      <c r="J123" s="1">
        <f t="shared" si="58"/>
        <v>0</v>
      </c>
      <c r="K123" s="1">
        <v>0</v>
      </c>
      <c r="L123" s="1">
        <f t="shared" si="58"/>
        <v>0</v>
      </c>
      <c r="M123" s="1">
        <f t="shared" si="58"/>
        <v>0</v>
      </c>
      <c r="N123" s="1">
        <f t="shared" si="58"/>
        <v>0</v>
      </c>
      <c r="O123" s="1">
        <v>0</v>
      </c>
    </row>
    <row r="124" spans="1:15" ht="31.5" x14ac:dyDescent="0.2">
      <c r="A124" s="113"/>
      <c r="B124" s="108"/>
      <c r="C124" s="76" t="s">
        <v>79</v>
      </c>
      <c r="D124" s="73">
        <f>E124+F124+G124+H124+I124+J124</f>
        <v>619.70000000000005</v>
      </c>
      <c r="E124" s="73">
        <v>619.70000000000005</v>
      </c>
      <c r="F124" s="73">
        <v>0</v>
      </c>
      <c r="G124" s="73">
        <v>0</v>
      </c>
      <c r="H124" s="73">
        <v>0</v>
      </c>
      <c r="I124" s="73">
        <v>0</v>
      </c>
      <c r="J124" s="73">
        <v>0</v>
      </c>
      <c r="K124" s="1">
        <v>0</v>
      </c>
      <c r="L124" s="73">
        <v>0</v>
      </c>
      <c r="M124" s="73">
        <v>0</v>
      </c>
      <c r="N124" s="73">
        <v>0</v>
      </c>
      <c r="O124" s="1">
        <v>0</v>
      </c>
    </row>
    <row r="125" spans="1:15" ht="31.5" x14ac:dyDescent="0.2">
      <c r="A125" s="113"/>
      <c r="B125" s="108"/>
      <c r="C125" s="51" t="s">
        <v>65</v>
      </c>
      <c r="D125" s="1">
        <f>E125+F125+G125+H125+I125+J125</f>
        <v>567</v>
      </c>
      <c r="E125" s="1">
        <v>567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</row>
    <row r="126" spans="1:15" ht="31.5" x14ac:dyDescent="0.2">
      <c r="A126" s="113"/>
      <c r="B126" s="108"/>
      <c r="C126" s="76" t="s">
        <v>79</v>
      </c>
      <c r="D126" s="73">
        <f>E126</f>
        <v>567</v>
      </c>
      <c r="E126" s="73">
        <v>567</v>
      </c>
      <c r="F126" s="73">
        <v>0</v>
      </c>
      <c r="G126" s="73">
        <v>0</v>
      </c>
      <c r="H126" s="73">
        <v>0</v>
      </c>
      <c r="I126" s="73">
        <v>0</v>
      </c>
      <c r="J126" s="73">
        <v>0</v>
      </c>
      <c r="K126" s="1">
        <v>0</v>
      </c>
      <c r="L126" s="73">
        <v>0</v>
      </c>
      <c r="M126" s="73">
        <v>0</v>
      </c>
      <c r="N126" s="73">
        <v>0</v>
      </c>
      <c r="O126" s="1">
        <v>0</v>
      </c>
    </row>
    <row r="127" spans="1:15" ht="18" customHeight="1" x14ac:dyDescent="0.2">
      <c r="A127" s="113"/>
      <c r="B127" s="108"/>
      <c r="C127" s="51" t="s">
        <v>13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15.75" x14ac:dyDescent="0.2">
      <c r="A128" s="97" t="s">
        <v>107</v>
      </c>
      <c r="B128" s="103" t="s">
        <v>140</v>
      </c>
      <c r="C128" s="51" t="s">
        <v>7</v>
      </c>
      <c r="D128" s="1">
        <f>E128+F128+G128+H128+I128+J128</f>
        <v>25000</v>
      </c>
      <c r="E128" s="1">
        <f>E130+E131+E134+E136</f>
        <v>25000</v>
      </c>
      <c r="F128" s="1">
        <f t="shared" ref="F128:K128" si="59">F130+F131+F134+F136</f>
        <v>0</v>
      </c>
      <c r="G128" s="1">
        <f t="shared" si="59"/>
        <v>0</v>
      </c>
      <c r="H128" s="1">
        <f t="shared" si="59"/>
        <v>0</v>
      </c>
      <c r="I128" s="1">
        <f t="shared" si="59"/>
        <v>0</v>
      </c>
      <c r="J128" s="1">
        <f t="shared" si="59"/>
        <v>0</v>
      </c>
      <c r="K128" s="1">
        <f t="shared" si="59"/>
        <v>0</v>
      </c>
      <c r="L128" s="1">
        <f>L130+L131+L134+L136</f>
        <v>0</v>
      </c>
      <c r="M128" s="1">
        <f>M130+M131+M134+M136</f>
        <v>0</v>
      </c>
      <c r="N128" s="1">
        <f>N130+N131+N134+N136</f>
        <v>0</v>
      </c>
      <c r="O128" s="1">
        <f>O130+O131+O134+O136</f>
        <v>0</v>
      </c>
    </row>
    <row r="129" spans="1:15" ht="31.5" x14ac:dyDescent="0.2">
      <c r="A129" s="98"/>
      <c r="B129" s="103"/>
      <c r="C129" s="76" t="s">
        <v>79</v>
      </c>
      <c r="D129" s="73">
        <f>E129+F129+G129+H129+I129+J129</f>
        <v>15579.7</v>
      </c>
      <c r="E129" s="73">
        <f>E133+E135</f>
        <v>15579.7</v>
      </c>
      <c r="F129" s="73">
        <f t="shared" ref="F129:K129" si="60">F133+F135</f>
        <v>0</v>
      </c>
      <c r="G129" s="73">
        <f t="shared" si="60"/>
        <v>0</v>
      </c>
      <c r="H129" s="73">
        <f t="shared" si="60"/>
        <v>0</v>
      </c>
      <c r="I129" s="73">
        <f t="shared" si="60"/>
        <v>0</v>
      </c>
      <c r="J129" s="73">
        <f t="shared" si="60"/>
        <v>0</v>
      </c>
      <c r="K129" s="73">
        <f t="shared" si="60"/>
        <v>0</v>
      </c>
      <c r="L129" s="73">
        <f>L133+L135</f>
        <v>0</v>
      </c>
      <c r="M129" s="73">
        <f>M133+M135</f>
        <v>0</v>
      </c>
      <c r="N129" s="73">
        <f>N133+N135</f>
        <v>0</v>
      </c>
      <c r="O129" s="73">
        <f>O133+O135</f>
        <v>0</v>
      </c>
    </row>
    <row r="130" spans="1:15" ht="15.75" x14ac:dyDescent="0.2">
      <c r="A130" s="130"/>
      <c r="B130" s="103"/>
      <c r="C130" s="51" t="s">
        <v>10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</row>
    <row r="131" spans="1:15" ht="31.5" x14ac:dyDescent="0.2">
      <c r="A131" s="130"/>
      <c r="B131" s="103"/>
      <c r="C131" s="51" t="s">
        <v>69</v>
      </c>
      <c r="D131" s="1">
        <f>E131+F131+G131+H131+I131+J131</f>
        <v>23141.4</v>
      </c>
      <c r="E131" s="1">
        <f>E133+8045.7</f>
        <v>23141.4</v>
      </c>
      <c r="F131" s="1">
        <f>F133</f>
        <v>0</v>
      </c>
      <c r="G131" s="1">
        <f>G133</f>
        <v>0</v>
      </c>
      <c r="H131" s="1">
        <f>H133</f>
        <v>0</v>
      </c>
      <c r="I131" s="1">
        <f>I133</f>
        <v>0</v>
      </c>
      <c r="J131" s="1">
        <f>J133</f>
        <v>0</v>
      </c>
      <c r="K131" s="1">
        <v>0</v>
      </c>
      <c r="L131" s="1">
        <f>L133</f>
        <v>0</v>
      </c>
      <c r="M131" s="1">
        <f>M133</f>
        <v>0</v>
      </c>
      <c r="N131" s="1">
        <f>N133</f>
        <v>0</v>
      </c>
      <c r="O131" s="1">
        <v>0</v>
      </c>
    </row>
    <row r="132" spans="1:15" ht="31.5" x14ac:dyDescent="0.2">
      <c r="A132" s="130"/>
      <c r="B132" s="103"/>
      <c r="C132" s="76" t="s">
        <v>81</v>
      </c>
      <c r="D132" s="73">
        <f>E132+F132+G132+H132+I132+J132</f>
        <v>8045.7</v>
      </c>
      <c r="E132" s="73">
        <v>8045.7</v>
      </c>
      <c r="F132" s="73">
        <v>0</v>
      </c>
      <c r="G132" s="73">
        <v>0</v>
      </c>
      <c r="H132" s="73">
        <v>0</v>
      </c>
      <c r="I132" s="73">
        <v>0</v>
      </c>
      <c r="J132" s="73">
        <v>0</v>
      </c>
      <c r="K132" s="1">
        <v>0</v>
      </c>
      <c r="L132" s="73">
        <v>0</v>
      </c>
      <c r="M132" s="73">
        <v>0</v>
      </c>
      <c r="N132" s="73">
        <v>0</v>
      </c>
      <c r="O132" s="1">
        <v>0</v>
      </c>
    </row>
    <row r="133" spans="1:15" ht="32.25" customHeight="1" x14ac:dyDescent="0.2">
      <c r="A133" s="130"/>
      <c r="B133" s="103"/>
      <c r="C133" s="76" t="s">
        <v>79</v>
      </c>
      <c r="D133" s="73">
        <f>E133+F133+G133+H133+I133+J133</f>
        <v>15095.7</v>
      </c>
      <c r="E133" s="73">
        <v>15095.7</v>
      </c>
      <c r="F133" s="73">
        <v>0</v>
      </c>
      <c r="G133" s="73">
        <v>0</v>
      </c>
      <c r="H133" s="73">
        <v>0</v>
      </c>
      <c r="I133" s="73">
        <v>0</v>
      </c>
      <c r="J133" s="73">
        <v>0</v>
      </c>
      <c r="K133" s="1">
        <v>0</v>
      </c>
      <c r="L133" s="73">
        <v>0</v>
      </c>
      <c r="M133" s="73">
        <v>0</v>
      </c>
      <c r="N133" s="73">
        <v>0</v>
      </c>
      <c r="O133" s="1">
        <v>0</v>
      </c>
    </row>
    <row r="134" spans="1:15" ht="31.5" x14ac:dyDescent="0.2">
      <c r="A134" s="130"/>
      <c r="B134" s="103"/>
      <c r="C134" s="51" t="s">
        <v>65</v>
      </c>
      <c r="D134" s="1">
        <f>E134+F134+G134+H134+I134+J134</f>
        <v>1858.6</v>
      </c>
      <c r="E134" s="1">
        <f>484+1374.6</f>
        <v>1858.6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ht="31.5" x14ac:dyDescent="0.2">
      <c r="A135" s="130"/>
      <c r="B135" s="103"/>
      <c r="C135" s="76" t="s">
        <v>79</v>
      </c>
      <c r="D135" s="73">
        <f>E135</f>
        <v>484</v>
      </c>
      <c r="E135" s="73">
        <v>484</v>
      </c>
      <c r="F135" s="73">
        <v>0</v>
      </c>
      <c r="G135" s="73">
        <v>0</v>
      </c>
      <c r="H135" s="73">
        <v>0</v>
      </c>
      <c r="I135" s="73">
        <v>0</v>
      </c>
      <c r="J135" s="73">
        <v>0</v>
      </c>
      <c r="K135" s="1">
        <v>0</v>
      </c>
      <c r="L135" s="73">
        <v>0</v>
      </c>
      <c r="M135" s="73">
        <v>0</v>
      </c>
      <c r="N135" s="73">
        <v>0</v>
      </c>
      <c r="O135" s="1">
        <v>0</v>
      </c>
    </row>
    <row r="136" spans="1:15" ht="15.75" x14ac:dyDescent="0.2">
      <c r="A136" s="131"/>
      <c r="B136" s="103"/>
      <c r="C136" s="51" t="s">
        <v>13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75" x14ac:dyDescent="0.2">
      <c r="A137" s="108" t="s">
        <v>108</v>
      </c>
      <c r="B137" s="103" t="s">
        <v>74</v>
      </c>
      <c r="C137" s="51" t="s">
        <v>7</v>
      </c>
      <c r="D137" s="1">
        <f>E137+F137+G137+H137+I137+J137</f>
        <v>155</v>
      </c>
      <c r="E137" s="1">
        <f>E139+E140+E141+E143</f>
        <v>155</v>
      </c>
      <c r="F137" s="1">
        <f t="shared" ref="F137:K137" si="61">F139+F140+F141+F143</f>
        <v>0</v>
      </c>
      <c r="G137" s="1">
        <f t="shared" si="61"/>
        <v>0</v>
      </c>
      <c r="H137" s="1">
        <f t="shared" si="61"/>
        <v>0</v>
      </c>
      <c r="I137" s="1">
        <f t="shared" si="61"/>
        <v>0</v>
      </c>
      <c r="J137" s="1">
        <f t="shared" si="61"/>
        <v>0</v>
      </c>
      <c r="K137" s="1">
        <f t="shared" si="61"/>
        <v>0</v>
      </c>
      <c r="L137" s="1">
        <f>L139+L140+L141+L143</f>
        <v>0</v>
      </c>
      <c r="M137" s="1">
        <f>M139+M140+M141+M143</f>
        <v>0</v>
      </c>
      <c r="N137" s="1">
        <f>N139+N140+N141+N143</f>
        <v>0</v>
      </c>
      <c r="O137" s="1">
        <f>O139+O140+O141+O143</f>
        <v>0</v>
      </c>
    </row>
    <row r="138" spans="1:15" ht="31.5" x14ac:dyDescent="0.2">
      <c r="A138" s="108"/>
      <c r="B138" s="103"/>
      <c r="C138" s="76" t="s">
        <v>79</v>
      </c>
      <c r="D138" s="73">
        <f>E138+F138+G138+H138+I138+J138</f>
        <v>155</v>
      </c>
      <c r="E138" s="73">
        <f t="shared" ref="E138:K138" si="62">E142</f>
        <v>155</v>
      </c>
      <c r="F138" s="73">
        <f t="shared" si="62"/>
        <v>0</v>
      </c>
      <c r="G138" s="73">
        <f t="shared" si="62"/>
        <v>0</v>
      </c>
      <c r="H138" s="73">
        <f t="shared" si="62"/>
        <v>0</v>
      </c>
      <c r="I138" s="73">
        <f t="shared" si="62"/>
        <v>0</v>
      </c>
      <c r="J138" s="73">
        <f t="shared" si="62"/>
        <v>0</v>
      </c>
      <c r="K138" s="73">
        <f t="shared" si="62"/>
        <v>0</v>
      </c>
      <c r="L138" s="73">
        <f>L142</f>
        <v>0</v>
      </c>
      <c r="M138" s="73">
        <f>M142</f>
        <v>0</v>
      </c>
      <c r="N138" s="73">
        <f>N142</f>
        <v>0</v>
      </c>
      <c r="O138" s="73">
        <f>O142</f>
        <v>0</v>
      </c>
    </row>
    <row r="139" spans="1:15" ht="18" customHeight="1" x14ac:dyDescent="0.2">
      <c r="A139" s="113"/>
      <c r="B139" s="103"/>
      <c r="C139" s="51" t="s">
        <v>10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</row>
    <row r="140" spans="1:15" ht="15.75" x14ac:dyDescent="0.2">
      <c r="A140" s="113"/>
      <c r="B140" s="103"/>
      <c r="C140" s="51" t="s">
        <v>11</v>
      </c>
      <c r="D140" s="1">
        <f>E140+F140+G140+H140+I140+J140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31.5" x14ac:dyDescent="0.2">
      <c r="A141" s="113"/>
      <c r="B141" s="103"/>
      <c r="C141" s="51" t="s">
        <v>65</v>
      </c>
      <c r="D141" s="1">
        <f>E141+F141+G141+H141+I141+J141</f>
        <v>155</v>
      </c>
      <c r="E141" s="1">
        <f>E142</f>
        <v>155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 ht="32.25" customHeight="1" x14ac:dyDescent="0.2">
      <c r="A142" s="113"/>
      <c r="B142" s="103"/>
      <c r="C142" s="76" t="s">
        <v>79</v>
      </c>
      <c r="D142" s="73">
        <f>E142</f>
        <v>155</v>
      </c>
      <c r="E142" s="73">
        <v>155</v>
      </c>
      <c r="F142" s="73">
        <v>0</v>
      </c>
      <c r="G142" s="73">
        <v>0</v>
      </c>
      <c r="H142" s="73">
        <v>0</v>
      </c>
      <c r="I142" s="73">
        <v>0</v>
      </c>
      <c r="J142" s="73">
        <v>0</v>
      </c>
      <c r="K142" s="1">
        <v>0</v>
      </c>
      <c r="L142" s="73">
        <v>0</v>
      </c>
      <c r="M142" s="73">
        <v>0</v>
      </c>
      <c r="N142" s="73">
        <v>0</v>
      </c>
      <c r="O142" s="1">
        <v>0</v>
      </c>
    </row>
    <row r="143" spans="1:15" ht="18" customHeight="1" x14ac:dyDescent="0.2">
      <c r="A143" s="113"/>
      <c r="B143" s="103"/>
      <c r="C143" s="51" t="s">
        <v>13</v>
      </c>
      <c r="D143" s="73">
        <f>E143</f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15.75" x14ac:dyDescent="0.2">
      <c r="A144" s="154" t="s">
        <v>109</v>
      </c>
      <c r="B144" s="156" t="s">
        <v>73</v>
      </c>
      <c r="C144" s="51" t="s">
        <v>7</v>
      </c>
      <c r="D144" s="1">
        <f>E144+F144+G144+H144+I144+J144</f>
        <v>9590.7999999999993</v>
      </c>
      <c r="E144" s="1">
        <f>E146+E147+E149+E151</f>
        <v>9590.7999999999993</v>
      </c>
      <c r="F144" s="1">
        <f t="shared" ref="F144:K144" si="63">F146+F147+F149+F151</f>
        <v>0</v>
      </c>
      <c r="G144" s="1">
        <f t="shared" si="63"/>
        <v>0</v>
      </c>
      <c r="H144" s="1">
        <f t="shared" si="63"/>
        <v>0</v>
      </c>
      <c r="I144" s="1">
        <f t="shared" si="63"/>
        <v>0</v>
      </c>
      <c r="J144" s="1">
        <f t="shared" si="63"/>
        <v>0</v>
      </c>
      <c r="K144" s="1">
        <f t="shared" si="63"/>
        <v>0</v>
      </c>
      <c r="L144" s="1">
        <f>L146+L147+L149+L151</f>
        <v>0</v>
      </c>
      <c r="M144" s="1">
        <f>M146+M147+M149+M151</f>
        <v>0</v>
      </c>
      <c r="N144" s="1">
        <f>N146+N147+N149+N151</f>
        <v>0</v>
      </c>
      <c r="O144" s="1">
        <f>O146+O147+O149+O151</f>
        <v>0</v>
      </c>
    </row>
    <row r="145" spans="1:15" ht="31.5" x14ac:dyDescent="0.2">
      <c r="A145" s="154"/>
      <c r="B145" s="156"/>
      <c r="C145" s="76" t="s">
        <v>79</v>
      </c>
      <c r="D145" s="73">
        <f>E145+F145+G145+H145+I145+J145</f>
        <v>9590.7999999999993</v>
      </c>
      <c r="E145" s="73">
        <f t="shared" ref="E145:K145" si="64">E148+E150</f>
        <v>9590.7999999999993</v>
      </c>
      <c r="F145" s="73">
        <f t="shared" si="64"/>
        <v>0</v>
      </c>
      <c r="G145" s="73">
        <f t="shared" si="64"/>
        <v>0</v>
      </c>
      <c r="H145" s="73">
        <f t="shared" si="64"/>
        <v>0</v>
      </c>
      <c r="I145" s="73">
        <f t="shared" si="64"/>
        <v>0</v>
      </c>
      <c r="J145" s="73">
        <f t="shared" si="64"/>
        <v>0</v>
      </c>
      <c r="K145" s="73">
        <f t="shared" si="64"/>
        <v>0</v>
      </c>
      <c r="L145" s="73">
        <f>L148+L150</f>
        <v>0</v>
      </c>
      <c r="M145" s="73">
        <f>M148+M150</f>
        <v>0</v>
      </c>
      <c r="N145" s="73">
        <f>N148+N150</f>
        <v>0</v>
      </c>
      <c r="O145" s="73">
        <f>O148+O150</f>
        <v>0</v>
      </c>
    </row>
    <row r="146" spans="1:15" ht="16.5" customHeight="1" x14ac:dyDescent="0.2">
      <c r="A146" s="155"/>
      <c r="B146" s="156"/>
      <c r="C146" s="51" t="s">
        <v>10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">
      <c r="A147" s="155"/>
      <c r="B147" s="156"/>
      <c r="C147" s="51" t="s">
        <v>69</v>
      </c>
      <c r="D147" s="1">
        <f>E147+F147+G147+H147+I147+J147</f>
        <v>9111.2999999999993</v>
      </c>
      <c r="E147" s="1">
        <f t="shared" ref="E147:N147" si="65">E148</f>
        <v>9111.2999999999993</v>
      </c>
      <c r="F147" s="1">
        <f t="shared" si="65"/>
        <v>0</v>
      </c>
      <c r="G147" s="1">
        <f t="shared" si="65"/>
        <v>0</v>
      </c>
      <c r="H147" s="1">
        <f t="shared" si="65"/>
        <v>0</v>
      </c>
      <c r="I147" s="1">
        <f t="shared" si="65"/>
        <v>0</v>
      </c>
      <c r="J147" s="1">
        <f t="shared" si="65"/>
        <v>0</v>
      </c>
      <c r="K147" s="1">
        <v>0</v>
      </c>
      <c r="L147" s="1">
        <f t="shared" si="65"/>
        <v>0</v>
      </c>
      <c r="M147" s="1">
        <f t="shared" si="65"/>
        <v>0</v>
      </c>
      <c r="N147" s="1">
        <f t="shared" si="65"/>
        <v>0</v>
      </c>
      <c r="O147" s="1">
        <v>0</v>
      </c>
    </row>
    <row r="148" spans="1:15" ht="31.5" x14ac:dyDescent="0.2">
      <c r="A148" s="155"/>
      <c r="B148" s="156"/>
      <c r="C148" s="76" t="s">
        <v>79</v>
      </c>
      <c r="D148" s="73">
        <f>E148+F148+G148+H148+I148+J148</f>
        <v>9111.2999999999993</v>
      </c>
      <c r="E148" s="73">
        <v>9111.2999999999993</v>
      </c>
      <c r="F148" s="73">
        <v>0</v>
      </c>
      <c r="G148" s="73">
        <v>0</v>
      </c>
      <c r="H148" s="73">
        <v>0</v>
      </c>
      <c r="I148" s="73">
        <v>0</v>
      </c>
      <c r="J148" s="73">
        <v>0</v>
      </c>
      <c r="K148" s="1">
        <v>0</v>
      </c>
      <c r="L148" s="73">
        <v>0</v>
      </c>
      <c r="M148" s="73">
        <v>0</v>
      </c>
      <c r="N148" s="73">
        <v>0</v>
      </c>
      <c r="O148" s="1">
        <v>0</v>
      </c>
    </row>
    <row r="149" spans="1:15" ht="31.5" x14ac:dyDescent="0.2">
      <c r="A149" s="155"/>
      <c r="B149" s="156"/>
      <c r="C149" s="51" t="s">
        <v>65</v>
      </c>
      <c r="D149" s="1">
        <f>E149+F149+G149+H149+I149+J149</f>
        <v>479.5</v>
      </c>
      <c r="E149" s="1">
        <f>E150</f>
        <v>479.5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 ht="30.75" customHeight="1" x14ac:dyDescent="0.2">
      <c r="A150" s="155"/>
      <c r="B150" s="156"/>
      <c r="C150" s="76" t="s">
        <v>79</v>
      </c>
      <c r="D150" s="73">
        <f>E150</f>
        <v>479.5</v>
      </c>
      <c r="E150" s="73">
        <v>479.5</v>
      </c>
      <c r="F150" s="73">
        <v>0</v>
      </c>
      <c r="G150" s="73">
        <v>0</v>
      </c>
      <c r="H150" s="73">
        <v>0</v>
      </c>
      <c r="I150" s="73">
        <v>0</v>
      </c>
      <c r="J150" s="73">
        <v>0</v>
      </c>
      <c r="K150" s="1">
        <v>0</v>
      </c>
      <c r="L150" s="73">
        <v>0</v>
      </c>
      <c r="M150" s="73">
        <v>0</v>
      </c>
      <c r="N150" s="73">
        <v>0</v>
      </c>
      <c r="O150" s="1">
        <v>0</v>
      </c>
    </row>
    <row r="151" spans="1:15" ht="15.75" x14ac:dyDescent="0.2">
      <c r="A151" s="155"/>
      <c r="B151" s="156"/>
      <c r="C151" s="51" t="s">
        <v>13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75" x14ac:dyDescent="0.2">
      <c r="A152" s="108" t="s">
        <v>110</v>
      </c>
      <c r="B152" s="138" t="s">
        <v>67</v>
      </c>
      <c r="C152" s="51" t="s">
        <v>7</v>
      </c>
      <c r="D152" s="1">
        <f>D153+D154+D155+D157</f>
        <v>1600.3</v>
      </c>
      <c r="E152" s="1">
        <f t="shared" ref="E152:K152" si="66">E153+E154+E155+E157</f>
        <v>1600.3</v>
      </c>
      <c r="F152" s="1">
        <f t="shared" si="66"/>
        <v>0</v>
      </c>
      <c r="G152" s="1">
        <f t="shared" si="66"/>
        <v>0</v>
      </c>
      <c r="H152" s="1">
        <f t="shared" si="66"/>
        <v>0</v>
      </c>
      <c r="I152" s="1">
        <f t="shared" si="66"/>
        <v>0</v>
      </c>
      <c r="J152" s="1">
        <f t="shared" si="66"/>
        <v>0</v>
      </c>
      <c r="K152" s="1">
        <f t="shared" si="66"/>
        <v>0</v>
      </c>
      <c r="L152" s="1">
        <f>L153+L154+L155+L157</f>
        <v>0</v>
      </c>
      <c r="M152" s="1">
        <f>M153+M154+M155+M157</f>
        <v>0</v>
      </c>
      <c r="N152" s="1">
        <f>N153+N154+N155+N157</f>
        <v>0</v>
      </c>
      <c r="O152" s="1">
        <f>O153+O154+O155+O157</f>
        <v>0</v>
      </c>
    </row>
    <row r="153" spans="1:15" ht="15.75" x14ac:dyDescent="0.2">
      <c r="A153" s="113"/>
      <c r="B153" s="139"/>
      <c r="C153" s="51" t="s">
        <v>10</v>
      </c>
      <c r="D153" s="1">
        <f>E153+F153+G153+H153+I153+J153</f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75" x14ac:dyDescent="0.2">
      <c r="A154" s="113"/>
      <c r="B154" s="139"/>
      <c r="C154" s="51" t="s">
        <v>11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31.5" x14ac:dyDescent="0.2">
      <c r="A155" s="113"/>
      <c r="B155" s="139"/>
      <c r="C155" s="51" t="s">
        <v>65</v>
      </c>
      <c r="D155" s="1">
        <f>E155+F155+G155+H155+I155+J155</f>
        <v>1600.3</v>
      </c>
      <c r="E155" s="1">
        <v>1600.3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</row>
    <row r="156" spans="1:15" ht="31.5" x14ac:dyDescent="0.2">
      <c r="A156" s="113"/>
      <c r="B156" s="139"/>
      <c r="C156" s="76" t="s">
        <v>79</v>
      </c>
      <c r="D156" s="73">
        <f>E156</f>
        <v>1600.3</v>
      </c>
      <c r="E156" s="73">
        <v>1600.3</v>
      </c>
      <c r="F156" s="73">
        <v>0</v>
      </c>
      <c r="G156" s="73">
        <v>0</v>
      </c>
      <c r="H156" s="73">
        <v>0</v>
      </c>
      <c r="I156" s="73">
        <v>0</v>
      </c>
      <c r="J156" s="73">
        <v>0</v>
      </c>
      <c r="K156" s="1">
        <v>0</v>
      </c>
      <c r="L156" s="73">
        <v>0</v>
      </c>
      <c r="M156" s="73">
        <v>0</v>
      </c>
      <c r="N156" s="73">
        <v>0</v>
      </c>
      <c r="O156" s="1">
        <v>0</v>
      </c>
    </row>
    <row r="157" spans="1:15" ht="21.75" customHeight="1" x14ac:dyDescent="0.2">
      <c r="A157" s="113"/>
      <c r="B157" s="140"/>
      <c r="C157" s="51" t="s">
        <v>13</v>
      </c>
      <c r="D157" s="1">
        <f>E157+F157+G157+H157+I157+J157</f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8" customHeight="1" x14ac:dyDescent="0.2">
      <c r="A158" s="108" t="s">
        <v>111</v>
      </c>
      <c r="B158" s="103" t="s">
        <v>141</v>
      </c>
      <c r="C158" s="51" t="s">
        <v>7</v>
      </c>
      <c r="D158" s="1">
        <f>D159+D160+D162+D163</f>
        <v>3488.1</v>
      </c>
      <c r="E158" s="1">
        <f t="shared" ref="E158:K158" si="67">E159+E160+E162+E163</f>
        <v>3088.1</v>
      </c>
      <c r="F158" s="1">
        <f t="shared" si="67"/>
        <v>0</v>
      </c>
      <c r="G158" s="1">
        <f t="shared" si="67"/>
        <v>0</v>
      </c>
      <c r="H158" s="1">
        <f t="shared" si="67"/>
        <v>400</v>
      </c>
      <c r="I158" s="1">
        <f t="shared" si="67"/>
        <v>0</v>
      </c>
      <c r="J158" s="1">
        <f t="shared" si="67"/>
        <v>0</v>
      </c>
      <c r="K158" s="1">
        <f t="shared" si="67"/>
        <v>0</v>
      </c>
      <c r="L158" s="1">
        <f>L159+L160+L162+L163</f>
        <v>0</v>
      </c>
      <c r="M158" s="1">
        <f>M159+M160+M162+M163</f>
        <v>0</v>
      </c>
      <c r="N158" s="1">
        <f>N159+N160+N162+N163</f>
        <v>0</v>
      </c>
      <c r="O158" s="1">
        <f>O159+O160+O162+O163</f>
        <v>0</v>
      </c>
    </row>
    <row r="159" spans="1:15" ht="15.75" x14ac:dyDescent="0.2">
      <c r="A159" s="113"/>
      <c r="B159" s="103"/>
      <c r="C159" s="51" t="s">
        <v>10</v>
      </c>
      <c r="D159" s="1">
        <f>E159+F159+G159+H159+I159+J159</f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30.75" customHeight="1" x14ac:dyDescent="0.2">
      <c r="A160" s="113"/>
      <c r="B160" s="103"/>
      <c r="C160" s="51" t="s">
        <v>69</v>
      </c>
      <c r="D160" s="1">
        <f>D161</f>
        <v>2692</v>
      </c>
      <c r="E160" s="1">
        <f t="shared" ref="E160:M160" si="68">E161</f>
        <v>2692</v>
      </c>
      <c r="F160" s="1">
        <f t="shared" si="68"/>
        <v>0</v>
      </c>
      <c r="G160" s="1">
        <f t="shared" si="68"/>
        <v>0</v>
      </c>
      <c r="H160" s="1">
        <f t="shared" si="68"/>
        <v>0</v>
      </c>
      <c r="I160" s="1">
        <f t="shared" si="68"/>
        <v>0</v>
      </c>
      <c r="J160" s="1">
        <f t="shared" si="68"/>
        <v>0</v>
      </c>
      <c r="K160" s="1">
        <v>0</v>
      </c>
      <c r="L160" s="1">
        <f t="shared" si="68"/>
        <v>0</v>
      </c>
      <c r="M160" s="1">
        <f t="shared" si="68"/>
        <v>0</v>
      </c>
      <c r="N160" s="1">
        <v>0</v>
      </c>
      <c r="O160" s="1">
        <v>0</v>
      </c>
    </row>
    <row r="161" spans="1:18" ht="31.5" x14ac:dyDescent="0.2">
      <c r="A161" s="113"/>
      <c r="B161" s="103"/>
      <c r="C161" s="76" t="s">
        <v>81</v>
      </c>
      <c r="D161" s="73">
        <f>E161+F161+G161+H161+I161+J161</f>
        <v>2692</v>
      </c>
      <c r="E161" s="73">
        <v>2692</v>
      </c>
      <c r="F161" s="73">
        <v>0</v>
      </c>
      <c r="G161" s="73">
        <v>0</v>
      </c>
      <c r="H161" s="73">
        <v>0</v>
      </c>
      <c r="I161" s="73">
        <v>0</v>
      </c>
      <c r="J161" s="73">
        <v>0</v>
      </c>
      <c r="K161" s="1">
        <v>0</v>
      </c>
      <c r="L161" s="73">
        <v>0</v>
      </c>
      <c r="M161" s="73">
        <v>0</v>
      </c>
      <c r="N161" s="1">
        <v>0</v>
      </c>
      <c r="O161" s="1">
        <v>0</v>
      </c>
    </row>
    <row r="162" spans="1:18" ht="15.75" x14ac:dyDescent="0.2">
      <c r="A162" s="113"/>
      <c r="B162" s="103"/>
      <c r="C162" s="51" t="s">
        <v>12</v>
      </c>
      <c r="D162" s="1">
        <f>E162+F162+G162+H162+I162+J162</f>
        <v>796.1</v>
      </c>
      <c r="E162" s="1">
        <v>396.1</v>
      </c>
      <c r="F162" s="1">
        <v>0</v>
      </c>
      <c r="G162" s="1">
        <v>0</v>
      </c>
      <c r="H162" s="1">
        <v>400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</row>
    <row r="163" spans="1:18" ht="15.75" x14ac:dyDescent="0.2">
      <c r="A163" s="113"/>
      <c r="B163" s="103"/>
      <c r="C163" s="51" t="s">
        <v>13</v>
      </c>
      <c r="D163" s="1">
        <f>E163+F163+G163+H163+I163+J163</f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75" x14ac:dyDescent="0.2">
      <c r="A164" s="108" t="s">
        <v>112</v>
      </c>
      <c r="B164" s="138" t="s">
        <v>75</v>
      </c>
      <c r="C164" s="59" t="s">
        <v>7</v>
      </c>
      <c r="D164" s="1">
        <f t="shared" ref="D164:D170" si="69">E164+F164+G164+H164+I164+J164</f>
        <v>123.9</v>
      </c>
      <c r="E164" s="1">
        <f t="shared" ref="E164:O164" si="70">E166+E167+E168+E170</f>
        <v>123.9</v>
      </c>
      <c r="F164" s="1">
        <f t="shared" si="70"/>
        <v>0</v>
      </c>
      <c r="G164" s="1">
        <f t="shared" si="70"/>
        <v>0</v>
      </c>
      <c r="H164" s="1">
        <f t="shared" si="70"/>
        <v>0</v>
      </c>
      <c r="I164" s="1">
        <f t="shared" si="70"/>
        <v>0</v>
      </c>
      <c r="J164" s="1">
        <f t="shared" si="70"/>
        <v>0</v>
      </c>
      <c r="K164" s="1">
        <f t="shared" si="70"/>
        <v>0</v>
      </c>
      <c r="L164" s="1">
        <f t="shared" si="70"/>
        <v>0</v>
      </c>
      <c r="M164" s="1">
        <f t="shared" si="70"/>
        <v>0</v>
      </c>
      <c r="N164" s="1">
        <f t="shared" si="70"/>
        <v>0</v>
      </c>
      <c r="O164" s="1">
        <f t="shared" si="70"/>
        <v>0</v>
      </c>
    </row>
    <row r="165" spans="1:18" ht="31.5" x14ac:dyDescent="0.2">
      <c r="A165" s="108"/>
      <c r="B165" s="139"/>
      <c r="C165" s="74" t="s">
        <v>79</v>
      </c>
      <c r="D165" s="73">
        <f t="shared" si="69"/>
        <v>123.9</v>
      </c>
      <c r="E165" s="73">
        <f t="shared" ref="E165:O165" si="71">E169</f>
        <v>123.9</v>
      </c>
      <c r="F165" s="73">
        <f t="shared" si="71"/>
        <v>0</v>
      </c>
      <c r="G165" s="73">
        <f t="shared" si="71"/>
        <v>0</v>
      </c>
      <c r="H165" s="73">
        <f t="shared" si="71"/>
        <v>0</v>
      </c>
      <c r="I165" s="73">
        <f t="shared" si="71"/>
        <v>0</v>
      </c>
      <c r="J165" s="73">
        <f t="shared" si="71"/>
        <v>0</v>
      </c>
      <c r="K165" s="73">
        <f t="shared" si="71"/>
        <v>0</v>
      </c>
      <c r="L165" s="73">
        <f t="shared" si="71"/>
        <v>0</v>
      </c>
      <c r="M165" s="73">
        <f t="shared" si="71"/>
        <v>0</v>
      </c>
      <c r="N165" s="73">
        <f t="shared" si="71"/>
        <v>0</v>
      </c>
      <c r="O165" s="73">
        <f t="shared" si="71"/>
        <v>0</v>
      </c>
    </row>
    <row r="166" spans="1:18" ht="15.75" x14ac:dyDescent="0.2">
      <c r="A166" s="108"/>
      <c r="B166" s="139"/>
      <c r="C166" s="59" t="s">
        <v>10</v>
      </c>
      <c r="D166" s="1">
        <f t="shared" si="69"/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8" ht="15.75" x14ac:dyDescent="0.2">
      <c r="A167" s="108"/>
      <c r="B167" s="139"/>
      <c r="C167" s="59" t="s">
        <v>11</v>
      </c>
      <c r="D167" s="1">
        <f t="shared" si="69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8" ht="31.5" x14ac:dyDescent="0.2">
      <c r="A168" s="108"/>
      <c r="B168" s="139"/>
      <c r="C168" s="51" t="s">
        <v>65</v>
      </c>
      <c r="D168" s="1">
        <f t="shared" si="69"/>
        <v>123.9</v>
      </c>
      <c r="E168" s="1">
        <f>E169</f>
        <v>123.9</v>
      </c>
      <c r="F168" s="1">
        <f>F169</f>
        <v>0</v>
      </c>
      <c r="G168" s="1">
        <f>G169</f>
        <v>0</v>
      </c>
      <c r="H168" s="1">
        <f>H169</f>
        <v>0</v>
      </c>
      <c r="I168" s="1">
        <f>I169</f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8" ht="31.5" x14ac:dyDescent="0.2">
      <c r="A169" s="108"/>
      <c r="B169" s="139"/>
      <c r="C169" s="74" t="s">
        <v>79</v>
      </c>
      <c r="D169" s="73">
        <f t="shared" si="69"/>
        <v>123.9</v>
      </c>
      <c r="E169" s="73">
        <v>123.9</v>
      </c>
      <c r="F169" s="73">
        <v>0</v>
      </c>
      <c r="G169" s="73">
        <v>0</v>
      </c>
      <c r="H169" s="73">
        <v>0</v>
      </c>
      <c r="I169" s="73">
        <v>0</v>
      </c>
      <c r="J169" s="73">
        <v>0</v>
      </c>
      <c r="K169" s="73">
        <v>0</v>
      </c>
      <c r="L169" s="73">
        <v>0</v>
      </c>
      <c r="M169" s="73">
        <v>0</v>
      </c>
      <c r="N169" s="73">
        <v>0</v>
      </c>
      <c r="O169" s="73">
        <v>0</v>
      </c>
      <c r="P169" s="68"/>
      <c r="Q169" s="68"/>
      <c r="R169" s="68"/>
    </row>
    <row r="170" spans="1:18" ht="38.25" customHeight="1" x14ac:dyDescent="0.2">
      <c r="A170" s="108"/>
      <c r="B170" s="140"/>
      <c r="C170" s="59" t="s">
        <v>13</v>
      </c>
      <c r="D170" s="1">
        <f t="shared" si="69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68"/>
      <c r="Q170" s="68"/>
      <c r="R170" s="68"/>
    </row>
    <row r="171" spans="1:18" ht="17.25" customHeight="1" x14ac:dyDescent="0.2">
      <c r="A171" s="108" t="s">
        <v>113</v>
      </c>
      <c r="B171" s="103" t="s">
        <v>78</v>
      </c>
      <c r="C171" s="51" t="s">
        <v>7</v>
      </c>
      <c r="D171" s="1">
        <f t="shared" ref="D171:D177" si="72">E171+F171+G171+H171+I171+J171</f>
        <v>1187</v>
      </c>
      <c r="E171" s="1">
        <f t="shared" ref="E171:K171" si="73">E173+E174+E175+E177</f>
        <v>1187</v>
      </c>
      <c r="F171" s="1">
        <f t="shared" si="73"/>
        <v>0</v>
      </c>
      <c r="G171" s="1">
        <f t="shared" si="73"/>
        <v>0</v>
      </c>
      <c r="H171" s="1">
        <f t="shared" si="73"/>
        <v>0</v>
      </c>
      <c r="I171" s="1">
        <f t="shared" si="73"/>
        <v>0</v>
      </c>
      <c r="J171" s="1">
        <f t="shared" si="73"/>
        <v>0</v>
      </c>
      <c r="K171" s="1">
        <f t="shared" si="73"/>
        <v>0</v>
      </c>
      <c r="L171" s="1">
        <f>L173+L174+L175+L177</f>
        <v>0</v>
      </c>
      <c r="M171" s="1">
        <f>M173+M174+M175+M177</f>
        <v>0</v>
      </c>
      <c r="N171" s="1">
        <f>N173+N174+N175+N177</f>
        <v>0</v>
      </c>
      <c r="O171" s="1">
        <f>O173+O174+O175+O177</f>
        <v>0</v>
      </c>
      <c r="P171" s="77"/>
      <c r="Q171" s="77"/>
      <c r="R171" s="68"/>
    </row>
    <row r="172" spans="1:18" ht="31.5" x14ac:dyDescent="0.2">
      <c r="A172" s="113"/>
      <c r="B172" s="134"/>
      <c r="C172" s="76" t="s">
        <v>79</v>
      </c>
      <c r="D172" s="73">
        <f t="shared" si="72"/>
        <v>1187</v>
      </c>
      <c r="E172" s="73">
        <f t="shared" ref="E172:K172" si="74">E176</f>
        <v>1187</v>
      </c>
      <c r="F172" s="73">
        <f t="shared" si="74"/>
        <v>0</v>
      </c>
      <c r="G172" s="73">
        <f t="shared" si="74"/>
        <v>0</v>
      </c>
      <c r="H172" s="73">
        <f t="shared" si="74"/>
        <v>0</v>
      </c>
      <c r="I172" s="73">
        <f t="shared" si="74"/>
        <v>0</v>
      </c>
      <c r="J172" s="73">
        <f t="shared" si="74"/>
        <v>0</v>
      </c>
      <c r="K172" s="73">
        <f t="shared" si="74"/>
        <v>0</v>
      </c>
      <c r="L172" s="73">
        <f>L176</f>
        <v>0</v>
      </c>
      <c r="M172" s="73">
        <f>M176</f>
        <v>0</v>
      </c>
      <c r="N172" s="73">
        <f>N176</f>
        <v>0</v>
      </c>
      <c r="O172" s="73">
        <f>O176</f>
        <v>0</v>
      </c>
      <c r="P172" s="78"/>
      <c r="Q172" s="78"/>
      <c r="R172" s="68"/>
    </row>
    <row r="173" spans="1:18" ht="15.75" x14ac:dyDescent="0.2">
      <c r="A173" s="113"/>
      <c r="B173" s="134"/>
      <c r="C173" s="51" t="s">
        <v>10</v>
      </c>
      <c r="D173" s="1">
        <f t="shared" si="72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77"/>
      <c r="Q173" s="77"/>
      <c r="R173" s="68"/>
    </row>
    <row r="174" spans="1:18" ht="15.75" x14ac:dyDescent="0.2">
      <c r="A174" s="113"/>
      <c r="B174" s="134"/>
      <c r="C174" s="51" t="s">
        <v>11</v>
      </c>
      <c r="D174" s="1">
        <f t="shared" si="72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7"/>
      <c r="Q174" s="77"/>
      <c r="R174" s="68"/>
    </row>
    <row r="175" spans="1:18" ht="32.25" customHeight="1" x14ac:dyDescent="0.2">
      <c r="A175" s="113"/>
      <c r="B175" s="134"/>
      <c r="C175" s="51" t="s">
        <v>65</v>
      </c>
      <c r="D175" s="1">
        <f t="shared" si="72"/>
        <v>1187</v>
      </c>
      <c r="E175" s="1">
        <f t="shared" ref="E175:O175" si="75">E176</f>
        <v>1187</v>
      </c>
      <c r="F175" s="1">
        <f t="shared" si="75"/>
        <v>0</v>
      </c>
      <c r="G175" s="1">
        <f t="shared" si="75"/>
        <v>0</v>
      </c>
      <c r="H175" s="1">
        <f t="shared" si="75"/>
        <v>0</v>
      </c>
      <c r="I175" s="1">
        <f t="shared" si="75"/>
        <v>0</v>
      </c>
      <c r="J175" s="1">
        <f t="shared" si="75"/>
        <v>0</v>
      </c>
      <c r="K175" s="1">
        <v>0</v>
      </c>
      <c r="L175" s="1">
        <f t="shared" si="75"/>
        <v>0</v>
      </c>
      <c r="M175" s="1">
        <f t="shared" si="75"/>
        <v>0</v>
      </c>
      <c r="N175" s="1">
        <f t="shared" si="75"/>
        <v>0</v>
      </c>
      <c r="O175" s="1">
        <f t="shared" si="75"/>
        <v>0</v>
      </c>
      <c r="P175" s="77"/>
      <c r="Q175" s="77"/>
      <c r="R175" s="68"/>
    </row>
    <row r="176" spans="1:18" ht="32.25" customHeight="1" x14ac:dyDescent="0.2">
      <c r="A176" s="113"/>
      <c r="B176" s="134"/>
      <c r="C176" s="76" t="s">
        <v>79</v>
      </c>
      <c r="D176" s="73">
        <f t="shared" si="72"/>
        <v>1187</v>
      </c>
      <c r="E176" s="73">
        <v>1187</v>
      </c>
      <c r="F176" s="73">
        <v>0</v>
      </c>
      <c r="G176" s="73">
        <v>0</v>
      </c>
      <c r="H176" s="73">
        <v>0</v>
      </c>
      <c r="I176" s="73">
        <v>0</v>
      </c>
      <c r="J176" s="73">
        <v>0</v>
      </c>
      <c r="K176" s="1">
        <v>0</v>
      </c>
      <c r="L176" s="73">
        <v>0</v>
      </c>
      <c r="M176" s="73">
        <v>0</v>
      </c>
      <c r="N176" s="73">
        <v>0</v>
      </c>
      <c r="O176" s="73">
        <v>0</v>
      </c>
      <c r="P176" s="77"/>
      <c r="Q176" s="77"/>
      <c r="R176" s="68"/>
    </row>
    <row r="177" spans="1:18" ht="18" customHeight="1" x14ac:dyDescent="0.2">
      <c r="A177" s="113"/>
      <c r="B177" s="134"/>
      <c r="C177" s="51" t="s">
        <v>13</v>
      </c>
      <c r="D177" s="1">
        <f t="shared" si="72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77"/>
      <c r="Q177" s="77"/>
      <c r="R177" s="68"/>
    </row>
    <row r="178" spans="1:18" ht="15.75" x14ac:dyDescent="0.2">
      <c r="A178" s="108" t="s">
        <v>114</v>
      </c>
      <c r="B178" s="108" t="s">
        <v>213</v>
      </c>
      <c r="C178" s="51" t="s">
        <v>7</v>
      </c>
      <c r="D178" s="1">
        <f t="shared" ref="D178:D183" si="76">E178+F178+G178+H178+I178+J178</f>
        <v>3590.6</v>
      </c>
      <c r="E178" s="1">
        <f>E179+E180+E181+E183</f>
        <v>2639.6</v>
      </c>
      <c r="F178" s="1">
        <f t="shared" ref="F178:K178" si="77">F179+F180+F181+F183</f>
        <v>951</v>
      </c>
      <c r="G178" s="1">
        <f t="shared" si="77"/>
        <v>0</v>
      </c>
      <c r="H178" s="1">
        <f t="shared" si="77"/>
        <v>0</v>
      </c>
      <c r="I178" s="1">
        <f t="shared" si="77"/>
        <v>0</v>
      </c>
      <c r="J178" s="1">
        <f t="shared" si="77"/>
        <v>0</v>
      </c>
      <c r="K178" s="1">
        <f t="shared" si="77"/>
        <v>0</v>
      </c>
      <c r="L178" s="1">
        <f>L179+L180+L181+L183</f>
        <v>0</v>
      </c>
      <c r="M178" s="1">
        <f>M179+M180+M181+M183</f>
        <v>0</v>
      </c>
      <c r="N178" s="1">
        <f>N179+N180+N181+N183</f>
        <v>0</v>
      </c>
      <c r="O178" s="1">
        <f>O179+O180+O181+O183</f>
        <v>0</v>
      </c>
      <c r="P178" s="68"/>
      <c r="Q178" s="68"/>
      <c r="R178" s="68"/>
    </row>
    <row r="179" spans="1:18" ht="15.75" x14ac:dyDescent="0.2">
      <c r="A179" s="113"/>
      <c r="B179" s="108"/>
      <c r="C179" s="51" t="s">
        <v>10</v>
      </c>
      <c r="D179" s="1">
        <f t="shared" si="76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8" ht="15.75" x14ac:dyDescent="0.2">
      <c r="A180" s="113"/>
      <c r="B180" s="108"/>
      <c r="C180" s="51" t="s">
        <v>11</v>
      </c>
      <c r="D180" s="1">
        <f t="shared" si="76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8" ht="31.5" x14ac:dyDescent="0.2">
      <c r="A181" s="113"/>
      <c r="B181" s="108"/>
      <c r="C181" s="51" t="s">
        <v>65</v>
      </c>
      <c r="D181" s="1">
        <f t="shared" si="76"/>
        <v>3590.6</v>
      </c>
      <c r="E181" s="1">
        <v>2639.6</v>
      </c>
      <c r="F181" s="1">
        <v>951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8" ht="31.5" x14ac:dyDescent="0.2">
      <c r="A182" s="113"/>
      <c r="B182" s="108"/>
      <c r="C182" s="76" t="s">
        <v>79</v>
      </c>
      <c r="D182" s="73">
        <f t="shared" si="76"/>
        <v>3590.6</v>
      </c>
      <c r="E182" s="73">
        <f>E181</f>
        <v>2639.6</v>
      </c>
      <c r="F182" s="73">
        <v>951</v>
      </c>
      <c r="G182" s="73">
        <v>0</v>
      </c>
      <c r="H182" s="73">
        <v>0</v>
      </c>
      <c r="I182" s="73">
        <v>0</v>
      </c>
      <c r="J182" s="73">
        <v>0</v>
      </c>
      <c r="K182" s="1">
        <v>0</v>
      </c>
      <c r="L182" s="73">
        <v>0</v>
      </c>
      <c r="M182" s="73">
        <v>0</v>
      </c>
      <c r="N182" s="73">
        <v>0</v>
      </c>
      <c r="O182" s="1">
        <v>0</v>
      </c>
    </row>
    <row r="183" spans="1:18" ht="21" customHeight="1" x14ac:dyDescent="0.2">
      <c r="A183" s="113"/>
      <c r="B183" s="108"/>
      <c r="C183" s="51" t="s">
        <v>13</v>
      </c>
      <c r="D183" s="1">
        <f t="shared" si="76"/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8" ht="15.75" x14ac:dyDescent="0.2">
      <c r="A184" s="108" t="s">
        <v>115</v>
      </c>
      <c r="B184" s="108" t="s">
        <v>217</v>
      </c>
      <c r="C184" s="51" t="s">
        <v>7</v>
      </c>
      <c r="D184" s="1">
        <f>E184+F184+G184+H184+I184+J184+K184+L184+M184+N184+O184</f>
        <v>2617.1</v>
      </c>
      <c r="E184" s="1">
        <f t="shared" ref="E184:O184" si="78">E185+E186+E187+E188</f>
        <v>0</v>
      </c>
      <c r="F184" s="1">
        <f t="shared" si="78"/>
        <v>0</v>
      </c>
      <c r="G184" s="1">
        <f t="shared" si="78"/>
        <v>332.6</v>
      </c>
      <c r="H184" s="1">
        <f>H185+H186+H187+H188</f>
        <v>984.5</v>
      </c>
      <c r="I184" s="1">
        <f t="shared" si="78"/>
        <v>690</v>
      </c>
      <c r="J184" s="1">
        <f t="shared" si="78"/>
        <v>160</v>
      </c>
      <c r="K184" s="1">
        <f t="shared" si="78"/>
        <v>450</v>
      </c>
      <c r="L184" s="1">
        <f t="shared" si="78"/>
        <v>0</v>
      </c>
      <c r="M184" s="1">
        <f t="shared" si="78"/>
        <v>0</v>
      </c>
      <c r="N184" s="1">
        <f t="shared" si="78"/>
        <v>0</v>
      </c>
      <c r="O184" s="1">
        <f t="shared" si="78"/>
        <v>0</v>
      </c>
    </row>
    <row r="185" spans="1:18" ht="15.75" x14ac:dyDescent="0.2">
      <c r="A185" s="113"/>
      <c r="B185" s="108"/>
      <c r="C185" s="51" t="s">
        <v>10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8" ht="15.75" x14ac:dyDescent="0.2">
      <c r="A186" s="113"/>
      <c r="B186" s="108"/>
      <c r="C186" s="51" t="s">
        <v>11</v>
      </c>
      <c r="D186" s="1">
        <f>E186+F186+G186+H186+I186+J186+K186+L186+M186+N186+O186</f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8" ht="15.75" x14ac:dyDescent="0.2">
      <c r="A187" s="113"/>
      <c r="B187" s="108"/>
      <c r="C187" s="51" t="s">
        <v>12</v>
      </c>
      <c r="D187" s="1">
        <f>E187+F187+G187+H187+I187+J187+K187+L187+M187+N187+O187</f>
        <v>2617.1</v>
      </c>
      <c r="E187" s="1">
        <v>0</v>
      </c>
      <c r="F187" s="1">
        <v>0</v>
      </c>
      <c r="G187" s="1">
        <v>332.6</v>
      </c>
      <c r="H187" s="1">
        <v>984.5</v>
      </c>
      <c r="I187" s="1">
        <v>690</v>
      </c>
      <c r="J187" s="1">
        <f>2000-1800-40</f>
        <v>160</v>
      </c>
      <c r="K187" s="1">
        <f>2000-1550</f>
        <v>450</v>
      </c>
      <c r="L187" s="1">
        <v>0</v>
      </c>
      <c r="M187" s="1">
        <v>0</v>
      </c>
      <c r="N187" s="1">
        <v>0</v>
      </c>
      <c r="O187" s="1">
        <f>2433.3-2433.3</f>
        <v>0</v>
      </c>
    </row>
    <row r="188" spans="1:18" ht="43.5" customHeight="1" x14ac:dyDescent="0.2">
      <c r="A188" s="113"/>
      <c r="B188" s="108"/>
      <c r="C188" s="51" t="s">
        <v>13</v>
      </c>
      <c r="D188" s="1">
        <f>E188+F188+G188+H188+I188+J188+K188+L188+M188+N188+O188</f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8" ht="15.75" x14ac:dyDescent="0.2">
      <c r="A189" s="108" t="s">
        <v>116</v>
      </c>
      <c r="B189" s="108" t="s">
        <v>224</v>
      </c>
      <c r="C189" s="51" t="s">
        <v>7</v>
      </c>
      <c r="D189" s="1">
        <f t="shared" ref="D189:D198" si="79">E189+F189+G189+H189+I189+J189</f>
        <v>3968.3</v>
      </c>
      <c r="E189" s="1">
        <f t="shared" ref="E189:J189" si="80">E190+E191+E192+E193</f>
        <v>0</v>
      </c>
      <c r="F189" s="1">
        <f t="shared" si="80"/>
        <v>0</v>
      </c>
      <c r="G189" s="1">
        <f t="shared" si="80"/>
        <v>0</v>
      </c>
      <c r="H189" s="1">
        <f t="shared" si="80"/>
        <v>3968.3</v>
      </c>
      <c r="I189" s="1">
        <f t="shared" si="80"/>
        <v>0</v>
      </c>
      <c r="J189" s="1">
        <f t="shared" si="80"/>
        <v>0</v>
      </c>
      <c r="K189" s="1">
        <v>0</v>
      </c>
      <c r="L189" s="1">
        <f>L190+L191+L192+L193</f>
        <v>0</v>
      </c>
      <c r="M189" s="1">
        <f>M190+M191+M192+M193</f>
        <v>0</v>
      </c>
      <c r="N189" s="1">
        <f>N190+N191+N192+N193</f>
        <v>0</v>
      </c>
      <c r="O189" s="1">
        <f>O190+O191+O192+O193</f>
        <v>0</v>
      </c>
    </row>
    <row r="190" spans="1:18" ht="15.75" x14ac:dyDescent="0.2">
      <c r="A190" s="113"/>
      <c r="B190" s="108"/>
      <c r="C190" s="51" t="s">
        <v>10</v>
      </c>
      <c r="D190" s="1">
        <f t="shared" si="79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8" ht="15.75" x14ac:dyDescent="0.2">
      <c r="A191" s="113"/>
      <c r="B191" s="108"/>
      <c r="C191" s="51" t="s">
        <v>11</v>
      </c>
      <c r="D191" s="1">
        <f t="shared" si="79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8" ht="15.75" x14ac:dyDescent="0.2">
      <c r="A192" s="113"/>
      <c r="B192" s="108"/>
      <c r="C192" s="51" t="s">
        <v>12</v>
      </c>
      <c r="D192" s="1">
        <f t="shared" si="79"/>
        <v>3968.3</v>
      </c>
      <c r="E192" s="1">
        <v>0</v>
      </c>
      <c r="F192" s="1">
        <v>0</v>
      </c>
      <c r="G192" s="1">
        <v>0</v>
      </c>
      <c r="H192" s="1">
        <v>3968.3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44.25" customHeight="1" x14ac:dyDescent="0.2">
      <c r="A193" s="113"/>
      <c r="B193" s="108"/>
      <c r="C193" s="51" t="s">
        <v>13</v>
      </c>
      <c r="D193" s="1">
        <f t="shared" si="79"/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75" x14ac:dyDescent="0.2">
      <c r="A194" s="108" t="s">
        <v>117</v>
      </c>
      <c r="B194" s="108" t="s">
        <v>225</v>
      </c>
      <c r="C194" s="51" t="s">
        <v>7</v>
      </c>
      <c r="D194" s="1">
        <f t="shared" si="79"/>
        <v>15790</v>
      </c>
      <c r="E194" s="1">
        <f t="shared" ref="E194:K194" si="81">E195+E196+E197+E198</f>
        <v>0</v>
      </c>
      <c r="F194" s="1">
        <f t="shared" si="81"/>
        <v>15790</v>
      </c>
      <c r="G194" s="1">
        <f t="shared" si="81"/>
        <v>0</v>
      </c>
      <c r="H194" s="1">
        <f t="shared" si="81"/>
        <v>0</v>
      </c>
      <c r="I194" s="1">
        <f t="shared" si="81"/>
        <v>0</v>
      </c>
      <c r="J194" s="1">
        <f t="shared" si="81"/>
        <v>0</v>
      </c>
      <c r="K194" s="1">
        <f t="shared" si="81"/>
        <v>0</v>
      </c>
      <c r="L194" s="1">
        <f>L195+L196+L197+L198</f>
        <v>0</v>
      </c>
      <c r="M194" s="1">
        <f>M195+M196+M197+M198</f>
        <v>0</v>
      </c>
      <c r="N194" s="1">
        <f>N195+N196+N197+N198</f>
        <v>0</v>
      </c>
      <c r="O194" s="1">
        <f>O195+O196+O197+O198</f>
        <v>0</v>
      </c>
    </row>
    <row r="195" spans="1:20" ht="18" customHeight="1" x14ac:dyDescent="0.2">
      <c r="A195" s="113"/>
      <c r="B195" s="108"/>
      <c r="C195" s="59" t="s">
        <v>10</v>
      </c>
      <c r="D195" s="1">
        <f t="shared" si="79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8" customHeight="1" x14ac:dyDescent="0.2">
      <c r="A196" s="113"/>
      <c r="B196" s="108"/>
      <c r="C196" s="59" t="s">
        <v>11</v>
      </c>
      <c r="D196" s="1">
        <f t="shared" si="79"/>
        <v>15000</v>
      </c>
      <c r="E196" s="1">
        <v>0</v>
      </c>
      <c r="F196" s="1">
        <v>15000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20" ht="15.75" x14ac:dyDescent="0.2">
      <c r="A197" s="113"/>
      <c r="B197" s="108"/>
      <c r="C197" s="59" t="s">
        <v>12</v>
      </c>
      <c r="D197" s="1">
        <f t="shared" si="79"/>
        <v>790</v>
      </c>
      <c r="E197" s="1">
        <v>0</v>
      </c>
      <c r="F197" s="1">
        <v>790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36.75" customHeight="1" x14ac:dyDescent="0.2">
      <c r="A198" s="113"/>
      <c r="B198" s="108"/>
      <c r="C198" s="59" t="s">
        <v>13</v>
      </c>
      <c r="D198" s="1">
        <f t="shared" si="79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20" ht="15.75" x14ac:dyDescent="0.2">
      <c r="A199" s="108" t="s">
        <v>118</v>
      </c>
      <c r="B199" s="108" t="s">
        <v>378</v>
      </c>
      <c r="C199" s="51" t="s">
        <v>7</v>
      </c>
      <c r="D199" s="1">
        <f>E199+F199+G199+H199+I199+J199+J199+K199+L199+M199+N199+O199</f>
        <v>3046367.4000000004</v>
      </c>
      <c r="E199" s="1">
        <f t="shared" ref="E199:M199" si="82">E200+E201+E203+E205</f>
        <v>0</v>
      </c>
      <c r="F199" s="1">
        <f t="shared" si="82"/>
        <v>0</v>
      </c>
      <c r="G199" s="1">
        <f t="shared" si="82"/>
        <v>27664</v>
      </c>
      <c r="H199" s="1">
        <f t="shared" si="82"/>
        <v>50456.399999999994</v>
      </c>
      <c r="I199" s="1">
        <f t="shared" si="82"/>
        <v>17092.099999999999</v>
      </c>
      <c r="J199" s="1">
        <f t="shared" si="82"/>
        <v>373247.1</v>
      </c>
      <c r="K199" s="1">
        <f t="shared" si="82"/>
        <v>886803.5</v>
      </c>
      <c r="L199" s="1">
        <f t="shared" si="82"/>
        <v>611320</v>
      </c>
      <c r="M199" s="1">
        <f t="shared" si="82"/>
        <v>183329.69999999998</v>
      </c>
      <c r="N199" s="1">
        <f>N200+N201+N203+N205</f>
        <v>150867.1</v>
      </c>
      <c r="O199" s="1">
        <f>O200+O201+O203+O205</f>
        <v>372340.4</v>
      </c>
      <c r="P199" s="61"/>
      <c r="Q199" s="70"/>
      <c r="R199" s="79"/>
      <c r="T199" s="80"/>
    </row>
    <row r="200" spans="1:20" ht="15.75" x14ac:dyDescent="0.2">
      <c r="A200" s="113"/>
      <c r="B200" s="108"/>
      <c r="C200" s="59" t="s">
        <v>10</v>
      </c>
      <c r="D200" s="1">
        <f t="shared" ref="D200:D205" si="83"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</row>
    <row r="201" spans="1:20" ht="31.5" x14ac:dyDescent="0.2">
      <c r="A201" s="113"/>
      <c r="B201" s="108"/>
      <c r="C201" s="59" t="s">
        <v>69</v>
      </c>
      <c r="D201" s="1">
        <f t="shared" si="83"/>
        <v>2501090.4</v>
      </c>
      <c r="E201" s="1">
        <v>0</v>
      </c>
      <c r="F201" s="1">
        <v>0</v>
      </c>
      <c r="G201" s="1">
        <v>26276.799999999999</v>
      </c>
      <c r="H201" s="1">
        <v>47416.2</v>
      </c>
      <c r="I201" s="1">
        <v>16128.9</v>
      </c>
      <c r="J201" s="1">
        <v>350852.3</v>
      </c>
      <c r="K201" s="1">
        <v>827090.5</v>
      </c>
      <c r="L201" s="1">
        <f>90675.1+341780.4+162261.4-10000-10076.1</f>
        <v>574640.80000000005</v>
      </c>
      <c r="M201" s="1">
        <f>221840-840+3039.3-55669.4</f>
        <v>168369.9</v>
      </c>
      <c r="N201" s="1">
        <f>221840-81525</f>
        <v>140315</v>
      </c>
      <c r="O201" s="1">
        <v>350000</v>
      </c>
      <c r="P201" s="81"/>
      <c r="Q201" s="68"/>
    </row>
    <row r="202" spans="1:20" ht="31.5" x14ac:dyDescent="0.2">
      <c r="A202" s="113"/>
      <c r="B202" s="108"/>
      <c r="C202" s="74" t="s">
        <v>81</v>
      </c>
      <c r="D202" s="73">
        <f t="shared" si="83"/>
        <v>10330.6</v>
      </c>
      <c r="E202" s="73">
        <v>0</v>
      </c>
      <c r="F202" s="73">
        <v>0</v>
      </c>
      <c r="G202" s="73">
        <v>0</v>
      </c>
      <c r="H202" s="73">
        <v>0</v>
      </c>
      <c r="I202" s="73">
        <v>0</v>
      </c>
      <c r="J202" s="73">
        <v>0</v>
      </c>
      <c r="K202" s="73">
        <v>0</v>
      </c>
      <c r="L202" s="73">
        <v>0</v>
      </c>
      <c r="M202" s="73">
        <v>10330.6</v>
      </c>
      <c r="N202" s="73">
        <v>0</v>
      </c>
      <c r="O202" s="73">
        <v>0</v>
      </c>
      <c r="P202" s="81"/>
      <c r="Q202" s="68"/>
    </row>
    <row r="203" spans="1:20" ht="31.5" x14ac:dyDescent="0.2">
      <c r="A203" s="113"/>
      <c r="B203" s="108"/>
      <c r="C203" s="59" t="s">
        <v>65</v>
      </c>
      <c r="D203" s="1">
        <f t="shared" si="83"/>
        <v>172029.9</v>
      </c>
      <c r="E203" s="1">
        <v>0</v>
      </c>
      <c r="F203" s="1">
        <v>0</v>
      </c>
      <c r="G203" s="1">
        <v>1387.2</v>
      </c>
      <c r="H203" s="1">
        <v>3040.2</v>
      </c>
      <c r="I203" s="1">
        <v>963.2</v>
      </c>
      <c r="J203" s="1">
        <v>22394.799999999999</v>
      </c>
      <c r="K203" s="1">
        <v>59713</v>
      </c>
      <c r="L203" s="1">
        <f>24355.9+3247.6+10357.2-0.1-638.3-643.2+0.1</f>
        <v>36679.199999999997</v>
      </c>
      <c r="M203" s="1">
        <f>14160-53.6+194+659.4</f>
        <v>14959.8</v>
      </c>
      <c r="N203" s="1">
        <f>14160-3319.2-288.7</f>
        <v>10552.099999999999</v>
      </c>
      <c r="O203" s="1">
        <f>22340.4</f>
        <v>22340.400000000001</v>
      </c>
      <c r="P203" s="81"/>
      <c r="Q203" s="68"/>
    </row>
    <row r="204" spans="1:20" ht="31.5" x14ac:dyDescent="0.2">
      <c r="A204" s="113"/>
      <c r="B204" s="108"/>
      <c r="C204" s="74" t="s">
        <v>449</v>
      </c>
      <c r="D204" s="73">
        <f t="shared" si="83"/>
        <v>659.4</v>
      </c>
      <c r="E204" s="73">
        <v>0</v>
      </c>
      <c r="F204" s="73">
        <v>0</v>
      </c>
      <c r="G204" s="73">
        <v>0</v>
      </c>
      <c r="H204" s="73">
        <v>0</v>
      </c>
      <c r="I204" s="73">
        <v>0</v>
      </c>
      <c r="J204" s="73">
        <v>0</v>
      </c>
      <c r="K204" s="73">
        <v>0</v>
      </c>
      <c r="L204" s="73">
        <v>0</v>
      </c>
      <c r="M204" s="73">
        <v>659.4</v>
      </c>
      <c r="N204" s="73">
        <v>0</v>
      </c>
      <c r="O204" s="73">
        <v>0</v>
      </c>
      <c r="P204" s="77"/>
      <c r="Q204" s="68"/>
    </row>
    <row r="205" spans="1:20" ht="28.5" customHeight="1" x14ac:dyDescent="0.2">
      <c r="A205" s="113"/>
      <c r="B205" s="108"/>
      <c r="C205" s="59" t="s">
        <v>13</v>
      </c>
      <c r="D205" s="1">
        <f t="shared" si="83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63"/>
      <c r="Q205" s="63"/>
    </row>
    <row r="206" spans="1:20" ht="15.75" x14ac:dyDescent="0.2">
      <c r="A206" s="108" t="s">
        <v>212</v>
      </c>
      <c r="B206" s="108" t="s">
        <v>298</v>
      </c>
      <c r="C206" s="51" t="s">
        <v>7</v>
      </c>
      <c r="D206" s="1">
        <f>D207+D208+D209+D210</f>
        <v>18555.600000000002</v>
      </c>
      <c r="E206" s="1">
        <f t="shared" ref="E206:K206" si="84">E207+E208+E209+E210</f>
        <v>0</v>
      </c>
      <c r="F206" s="1">
        <f t="shared" si="84"/>
        <v>0</v>
      </c>
      <c r="G206" s="1">
        <f t="shared" si="84"/>
        <v>0</v>
      </c>
      <c r="H206" s="1">
        <f t="shared" si="84"/>
        <v>0</v>
      </c>
      <c r="I206" s="1">
        <f t="shared" si="84"/>
        <v>1845.8</v>
      </c>
      <c r="J206" s="1">
        <f t="shared" si="84"/>
        <v>4535.2</v>
      </c>
      <c r="K206" s="1">
        <f t="shared" si="84"/>
        <v>599.90000000000146</v>
      </c>
      <c r="L206" s="1">
        <f>L207+L208+L209+L210</f>
        <v>4131.6000000000004</v>
      </c>
      <c r="M206" s="1">
        <f>M207+M208+M209+M210</f>
        <v>7443.1</v>
      </c>
      <c r="N206" s="1">
        <f>N207+N208+N209+N210</f>
        <v>0</v>
      </c>
      <c r="O206" s="1">
        <f>O207+O208+O209+O210</f>
        <v>0</v>
      </c>
      <c r="P206" s="61" t="s">
        <v>354</v>
      </c>
      <c r="Q206" s="70"/>
      <c r="T206" s="80"/>
    </row>
    <row r="207" spans="1:20" ht="15.75" x14ac:dyDescent="0.2">
      <c r="A207" s="113"/>
      <c r="B207" s="113"/>
      <c r="C207" s="51" t="s">
        <v>10</v>
      </c>
      <c r="D207" s="1">
        <f t="shared" ref="D207:D238" si="85">E207+F207+G207+H207+I207+J207+K207+L207+M207+N207+O207</f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75" x14ac:dyDescent="0.2">
      <c r="A208" s="113"/>
      <c r="B208" s="113"/>
      <c r="C208" s="51" t="s">
        <v>11</v>
      </c>
      <c r="D208" s="1">
        <f t="shared" si="85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63"/>
      <c r="Q208" s="63"/>
    </row>
    <row r="209" spans="1:16" ht="15.75" x14ac:dyDescent="0.2">
      <c r="A209" s="113"/>
      <c r="B209" s="113"/>
      <c r="C209" s="51" t="s">
        <v>12</v>
      </c>
      <c r="D209" s="1">
        <f t="shared" si="85"/>
        <v>18555.600000000002</v>
      </c>
      <c r="E209" s="1">
        <v>0</v>
      </c>
      <c r="F209" s="1">
        <v>0</v>
      </c>
      <c r="G209" s="1">
        <v>0</v>
      </c>
      <c r="H209" s="1">
        <v>0</v>
      </c>
      <c r="I209" s="1">
        <v>1845.8</v>
      </c>
      <c r="J209" s="1">
        <f>4243-69.6+361.8</f>
        <v>4535.2</v>
      </c>
      <c r="K209" s="1">
        <f>14535.2-13935.3</f>
        <v>599.90000000000146</v>
      </c>
      <c r="L209" s="1">
        <v>4131.6000000000004</v>
      </c>
      <c r="M209" s="1">
        <f>4131.6+3311.5</f>
        <v>7443.1</v>
      </c>
      <c r="N209" s="1">
        <v>0</v>
      </c>
      <c r="O209" s="1">
        <v>0</v>
      </c>
    </row>
    <row r="210" spans="1:16" ht="24" customHeight="1" x14ac:dyDescent="0.2">
      <c r="A210" s="113"/>
      <c r="B210" s="113"/>
      <c r="C210" s="51" t="s">
        <v>13</v>
      </c>
      <c r="D210" s="1">
        <f t="shared" si="85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08" t="s">
        <v>252</v>
      </c>
      <c r="B211" s="108" t="s">
        <v>256</v>
      </c>
      <c r="C211" s="51" t="s">
        <v>7</v>
      </c>
      <c r="D211" s="1">
        <f t="shared" si="85"/>
        <v>379.3</v>
      </c>
      <c r="E211" s="1">
        <f t="shared" ref="E211:J211" si="86">E212+E213+E214+E215</f>
        <v>0</v>
      </c>
      <c r="F211" s="1">
        <f t="shared" si="86"/>
        <v>0</v>
      </c>
      <c r="G211" s="1">
        <f t="shared" si="86"/>
        <v>0</v>
      </c>
      <c r="H211" s="1">
        <f t="shared" si="86"/>
        <v>0</v>
      </c>
      <c r="I211" s="1">
        <f t="shared" si="86"/>
        <v>10.3</v>
      </c>
      <c r="J211" s="1">
        <f t="shared" si="86"/>
        <v>0</v>
      </c>
      <c r="K211" s="1">
        <f>K212+K213+K214+K215</f>
        <v>369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5" t="s">
        <v>354</v>
      </c>
    </row>
    <row r="212" spans="1:16" ht="15.75" x14ac:dyDescent="0.2">
      <c r="A212" s="113"/>
      <c r="B212" s="113"/>
      <c r="C212" s="51" t="s">
        <v>10</v>
      </c>
      <c r="D212" s="1">
        <f t="shared" si="85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13"/>
      <c r="B213" s="113"/>
      <c r="C213" s="51" t="s">
        <v>11</v>
      </c>
      <c r="D213" s="1">
        <f t="shared" si="85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75" x14ac:dyDescent="0.2">
      <c r="A214" s="113"/>
      <c r="B214" s="113"/>
      <c r="C214" s="51" t="s">
        <v>12</v>
      </c>
      <c r="D214" s="1">
        <f t="shared" si="85"/>
        <v>379.3</v>
      </c>
      <c r="E214" s="1">
        <v>0</v>
      </c>
      <c r="F214" s="1">
        <v>0</v>
      </c>
      <c r="G214" s="1">
        <v>0</v>
      </c>
      <c r="H214" s="1">
        <v>0</v>
      </c>
      <c r="I214" s="1">
        <v>10.3</v>
      </c>
      <c r="J214" s="1">
        <f>10000-10000</f>
        <v>0</v>
      </c>
      <c r="K214" s="1">
        <f>10000-1800-110-137.5-7583.5</f>
        <v>369</v>
      </c>
      <c r="L214" s="1">
        <v>0</v>
      </c>
      <c r="M214" s="1">
        <v>0</v>
      </c>
      <c r="N214" s="1">
        <v>0</v>
      </c>
      <c r="O214" s="1">
        <v>0</v>
      </c>
    </row>
    <row r="215" spans="1:16" ht="36.75" customHeight="1" x14ac:dyDescent="0.2">
      <c r="A215" s="113"/>
      <c r="B215" s="113"/>
      <c r="C215" s="59" t="s">
        <v>13</v>
      </c>
      <c r="D215" s="1">
        <f t="shared" si="85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08" t="s">
        <v>253</v>
      </c>
      <c r="B216" s="108" t="s">
        <v>292</v>
      </c>
      <c r="C216" s="51" t="s">
        <v>7</v>
      </c>
      <c r="D216" s="1">
        <f t="shared" si="85"/>
        <v>5482.5</v>
      </c>
      <c r="E216" s="1">
        <f t="shared" ref="E216:J216" si="87">E217+E218+E219+E220</f>
        <v>0</v>
      </c>
      <c r="F216" s="1">
        <f t="shared" si="87"/>
        <v>0</v>
      </c>
      <c r="G216" s="1">
        <f t="shared" si="87"/>
        <v>0</v>
      </c>
      <c r="H216" s="1">
        <f t="shared" si="87"/>
        <v>0</v>
      </c>
      <c r="I216" s="1">
        <f t="shared" si="87"/>
        <v>0</v>
      </c>
      <c r="J216" s="1">
        <f t="shared" si="87"/>
        <v>2736.5</v>
      </c>
      <c r="K216" s="1">
        <f>K217+K218+K219+K220</f>
        <v>2746</v>
      </c>
      <c r="L216" s="1">
        <f>L217+L218+L219+L220</f>
        <v>0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  <c r="P216" s="65" t="s">
        <v>354</v>
      </c>
    </row>
    <row r="217" spans="1:16" ht="15.75" x14ac:dyDescent="0.2">
      <c r="A217" s="113"/>
      <c r="B217" s="113"/>
      <c r="C217" s="51" t="s">
        <v>10</v>
      </c>
      <c r="D217" s="1">
        <f t="shared" si="85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13"/>
      <c r="B218" s="113"/>
      <c r="C218" s="51" t="s">
        <v>11</v>
      </c>
      <c r="D218" s="1">
        <f t="shared" si="85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75" x14ac:dyDescent="0.2">
      <c r="A219" s="113"/>
      <c r="B219" s="113"/>
      <c r="C219" s="51" t="s">
        <v>12</v>
      </c>
      <c r="D219" s="1">
        <f t="shared" si="85"/>
        <v>5482.5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2800-63.5</f>
        <v>2736.5</v>
      </c>
      <c r="K219" s="1">
        <v>2746</v>
      </c>
      <c r="L219" s="1">
        <v>0</v>
      </c>
      <c r="M219" s="1">
        <v>0</v>
      </c>
      <c r="N219" s="1">
        <v>0</v>
      </c>
      <c r="O219" s="1">
        <v>0</v>
      </c>
    </row>
    <row r="220" spans="1:16" ht="32.25" customHeight="1" x14ac:dyDescent="0.2">
      <c r="A220" s="113"/>
      <c r="B220" s="113"/>
      <c r="C220" s="59" t="s">
        <v>13</v>
      </c>
      <c r="D220" s="1">
        <f t="shared" si="85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08" t="s">
        <v>254</v>
      </c>
      <c r="B221" s="108" t="s">
        <v>413</v>
      </c>
      <c r="C221" s="51" t="s">
        <v>7</v>
      </c>
      <c r="D221" s="1">
        <f t="shared" si="85"/>
        <v>241</v>
      </c>
      <c r="E221" s="1">
        <f t="shared" ref="E221:J221" si="88">E222+E223+E224+E225</f>
        <v>0</v>
      </c>
      <c r="F221" s="1">
        <f t="shared" si="88"/>
        <v>0</v>
      </c>
      <c r="G221" s="1">
        <f t="shared" si="88"/>
        <v>0</v>
      </c>
      <c r="H221" s="1">
        <f t="shared" si="88"/>
        <v>0</v>
      </c>
      <c r="I221" s="1">
        <f t="shared" si="88"/>
        <v>0</v>
      </c>
      <c r="J221" s="1">
        <f t="shared" si="88"/>
        <v>230</v>
      </c>
      <c r="K221" s="1">
        <f>K222+K223+K224+K225</f>
        <v>0</v>
      </c>
      <c r="L221" s="1">
        <f>L222+L223+L224+L225</f>
        <v>11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75" x14ac:dyDescent="0.2">
      <c r="A222" s="113"/>
      <c r="B222" s="113"/>
      <c r="C222" s="51" t="s">
        <v>10</v>
      </c>
      <c r="D222" s="1">
        <f t="shared" si="85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13"/>
      <c r="B223" s="113"/>
      <c r="C223" s="51" t="s">
        <v>11</v>
      </c>
      <c r="D223" s="1">
        <f t="shared" si="85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75" x14ac:dyDescent="0.2">
      <c r="A224" s="113"/>
      <c r="B224" s="113"/>
      <c r="C224" s="51" t="s">
        <v>12</v>
      </c>
      <c r="D224" s="1">
        <f t="shared" si="85"/>
        <v>241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f>8500-8500+300-65.1-4.9</f>
        <v>230</v>
      </c>
      <c r="K224" s="1">
        <v>0</v>
      </c>
      <c r="L224" s="1">
        <v>11</v>
      </c>
      <c r="M224" s="1">
        <v>0</v>
      </c>
      <c r="N224" s="1">
        <v>0</v>
      </c>
      <c r="O224" s="1">
        <v>0</v>
      </c>
    </row>
    <row r="225" spans="1:15" ht="17.25" customHeight="1" x14ac:dyDescent="0.2">
      <c r="A225" s="113"/>
      <c r="B225" s="113"/>
      <c r="C225" s="51" t="s">
        <v>13</v>
      </c>
      <c r="D225" s="1">
        <f t="shared" si="85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15" ht="15.75" x14ac:dyDescent="0.2">
      <c r="A226" s="108" t="s">
        <v>255</v>
      </c>
      <c r="B226" s="108" t="s">
        <v>257</v>
      </c>
      <c r="C226" s="51" t="s">
        <v>7</v>
      </c>
      <c r="D226" s="1">
        <f t="shared" si="85"/>
        <v>159.99999999999997</v>
      </c>
      <c r="E226" s="1">
        <f t="shared" ref="E226:J226" si="89">E227+E228+E229+E230</f>
        <v>0</v>
      </c>
      <c r="F226" s="1">
        <f t="shared" si="89"/>
        <v>0</v>
      </c>
      <c r="G226" s="1">
        <f t="shared" si="89"/>
        <v>0</v>
      </c>
      <c r="H226" s="1">
        <f t="shared" si="89"/>
        <v>0</v>
      </c>
      <c r="I226" s="1">
        <f t="shared" si="89"/>
        <v>160</v>
      </c>
      <c r="J226" s="1">
        <f t="shared" si="89"/>
        <v>0</v>
      </c>
      <c r="K226" s="1">
        <f>K227+K228+K229+K230</f>
        <v>-2.2648549702353193E-14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15" ht="15.75" x14ac:dyDescent="0.2">
      <c r="A227" s="113"/>
      <c r="B227" s="113"/>
      <c r="C227" s="51" t="s">
        <v>10</v>
      </c>
      <c r="D227" s="1">
        <f t="shared" si="85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15" ht="15.75" x14ac:dyDescent="0.2">
      <c r="A228" s="113"/>
      <c r="B228" s="113"/>
      <c r="C228" s="51" t="s">
        <v>11</v>
      </c>
      <c r="D228" s="1">
        <f t="shared" si="85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15" ht="15.75" x14ac:dyDescent="0.2">
      <c r="A229" s="113"/>
      <c r="B229" s="113"/>
      <c r="C229" s="51" t="s">
        <v>12</v>
      </c>
      <c r="D229" s="1">
        <f t="shared" si="85"/>
        <v>159.99999999999997</v>
      </c>
      <c r="E229" s="1">
        <v>0</v>
      </c>
      <c r="F229" s="1">
        <v>0</v>
      </c>
      <c r="G229" s="1">
        <v>0</v>
      </c>
      <c r="H229" s="1">
        <v>0</v>
      </c>
      <c r="I229" s="1">
        <v>160</v>
      </c>
      <c r="J229" s="1">
        <f>2000-600-1400</f>
        <v>0</v>
      </c>
      <c r="K229" s="1">
        <f>454.9-451-3.9</f>
        <v>-2.2648549702353193E-14</v>
      </c>
      <c r="L229" s="1">
        <v>0</v>
      </c>
      <c r="M229" s="1">
        <v>0</v>
      </c>
      <c r="N229" s="1">
        <v>0</v>
      </c>
      <c r="O229" s="1">
        <v>0</v>
      </c>
    </row>
    <row r="230" spans="1:15" ht="27.75" customHeight="1" x14ac:dyDescent="0.2">
      <c r="A230" s="113"/>
      <c r="B230" s="113"/>
      <c r="C230" s="59" t="s">
        <v>13</v>
      </c>
      <c r="D230" s="1">
        <f t="shared" si="85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15" ht="15.75" x14ac:dyDescent="0.2">
      <c r="A231" s="108" t="s">
        <v>271</v>
      </c>
      <c r="B231" s="97" t="s">
        <v>272</v>
      </c>
      <c r="C231" s="51" t="s">
        <v>7</v>
      </c>
      <c r="D231" s="1">
        <f t="shared" si="85"/>
        <v>1402.5</v>
      </c>
      <c r="E231" s="1">
        <f t="shared" ref="E231:J231" si="90">E232+E233+E234+E235</f>
        <v>0</v>
      </c>
      <c r="F231" s="1">
        <f t="shared" si="90"/>
        <v>0</v>
      </c>
      <c r="G231" s="1">
        <f t="shared" si="90"/>
        <v>0</v>
      </c>
      <c r="H231" s="1">
        <f t="shared" si="90"/>
        <v>0</v>
      </c>
      <c r="I231" s="1">
        <f t="shared" si="90"/>
        <v>1402.5</v>
      </c>
      <c r="J231" s="1">
        <f t="shared" si="90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15" ht="15.75" x14ac:dyDescent="0.2">
      <c r="A232" s="113"/>
      <c r="B232" s="130"/>
      <c r="C232" s="51" t="s">
        <v>10</v>
      </c>
      <c r="D232" s="1">
        <f t="shared" si="85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15" ht="15.75" x14ac:dyDescent="0.2">
      <c r="A233" s="113"/>
      <c r="B233" s="130"/>
      <c r="C233" s="51" t="s">
        <v>11</v>
      </c>
      <c r="D233" s="1">
        <f t="shared" si="85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15" ht="15.75" x14ac:dyDescent="0.2">
      <c r="A234" s="113"/>
      <c r="B234" s="130"/>
      <c r="C234" s="51" t="s">
        <v>12</v>
      </c>
      <c r="D234" s="1">
        <f t="shared" si="85"/>
        <v>1402.5</v>
      </c>
      <c r="E234" s="1">
        <v>0</v>
      </c>
      <c r="F234" s="1">
        <v>0</v>
      </c>
      <c r="G234" s="1">
        <v>0</v>
      </c>
      <c r="H234" s="1">
        <v>0</v>
      </c>
      <c r="I234" s="1">
        <v>1402.5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21.75" customHeight="1" x14ac:dyDescent="0.2">
      <c r="A235" s="113"/>
      <c r="B235" s="131"/>
      <c r="C235" s="59" t="s">
        <v>13</v>
      </c>
      <c r="D235" s="1">
        <f t="shared" si="85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15" ht="15.75" x14ac:dyDescent="0.2">
      <c r="A236" s="108" t="s">
        <v>279</v>
      </c>
      <c r="B236" s="97" t="s">
        <v>280</v>
      </c>
      <c r="C236" s="51" t="s">
        <v>7</v>
      </c>
      <c r="D236" s="1">
        <f t="shared" si="85"/>
        <v>4280.7</v>
      </c>
      <c r="E236" s="1">
        <f t="shared" ref="E236:J236" si="91">E237+E238+E239+E240</f>
        <v>0</v>
      </c>
      <c r="F236" s="1">
        <f t="shared" si="91"/>
        <v>0</v>
      </c>
      <c r="G236" s="1">
        <f t="shared" si="91"/>
        <v>0</v>
      </c>
      <c r="H236" s="1">
        <f t="shared" si="91"/>
        <v>0</v>
      </c>
      <c r="I236" s="1">
        <f t="shared" si="91"/>
        <v>4280.7</v>
      </c>
      <c r="J236" s="1">
        <f t="shared" si="91"/>
        <v>0</v>
      </c>
      <c r="K236" s="1">
        <f>K237+K238+K239+K240</f>
        <v>0</v>
      </c>
      <c r="L236" s="1">
        <f>L237+L238+L239+L240</f>
        <v>0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</row>
    <row r="237" spans="1:15" ht="15.75" x14ac:dyDescent="0.2">
      <c r="A237" s="113"/>
      <c r="B237" s="130"/>
      <c r="C237" s="51" t="s">
        <v>10</v>
      </c>
      <c r="D237" s="1">
        <f t="shared" si="85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15" ht="15.75" x14ac:dyDescent="0.2">
      <c r="A238" s="113"/>
      <c r="B238" s="130"/>
      <c r="C238" s="51" t="s">
        <v>11</v>
      </c>
      <c r="D238" s="1">
        <f t="shared" si="85"/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</row>
    <row r="239" spans="1:15" ht="15.75" x14ac:dyDescent="0.2">
      <c r="A239" s="113"/>
      <c r="B239" s="130"/>
      <c r="C239" s="51" t="s">
        <v>12</v>
      </c>
      <c r="D239" s="1">
        <f t="shared" ref="D239:D270" si="92">E239+F239+G239+H239+I239+J239+K239+L239+M239+N239+O239</f>
        <v>4280.7</v>
      </c>
      <c r="E239" s="1">
        <v>0</v>
      </c>
      <c r="F239" s="1">
        <v>0</v>
      </c>
      <c r="G239" s="1">
        <v>0</v>
      </c>
      <c r="H239" s="1">
        <v>0</v>
      </c>
      <c r="I239" s="1">
        <v>4280.7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23.25" customHeight="1" x14ac:dyDescent="0.2">
      <c r="A240" s="113"/>
      <c r="B240" s="131"/>
      <c r="C240" s="51" t="s">
        <v>13</v>
      </c>
      <c r="D240" s="1">
        <f t="shared" si="92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24" ht="15.75" x14ac:dyDescent="0.2">
      <c r="A241" s="108" t="s">
        <v>293</v>
      </c>
      <c r="B241" s="97" t="s">
        <v>367</v>
      </c>
      <c r="C241" s="51" t="s">
        <v>43</v>
      </c>
      <c r="D241" s="1">
        <f t="shared" si="92"/>
        <v>307198.09999999998</v>
      </c>
      <c r="E241" s="1">
        <f t="shared" ref="E241:J241" si="93">E242+E243+E244+E245</f>
        <v>0</v>
      </c>
      <c r="F241" s="1">
        <f t="shared" si="93"/>
        <v>0</v>
      </c>
      <c r="G241" s="1">
        <f t="shared" si="93"/>
        <v>0</v>
      </c>
      <c r="H241" s="1">
        <f t="shared" si="93"/>
        <v>0</v>
      </c>
      <c r="I241" s="1">
        <f t="shared" si="93"/>
        <v>0</v>
      </c>
      <c r="J241" s="1">
        <f t="shared" si="93"/>
        <v>159665.60000000001</v>
      </c>
      <c r="K241" s="1">
        <f>K242+K243+K244+K245</f>
        <v>120030.5</v>
      </c>
      <c r="L241" s="1">
        <f>L242+L243+L244+L245</f>
        <v>27502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  <c r="X241" s="63"/>
    </row>
    <row r="242" spans="1:24" ht="15.75" x14ac:dyDescent="0.2">
      <c r="A242" s="113"/>
      <c r="B242" s="130"/>
      <c r="C242" s="51" t="s">
        <v>10</v>
      </c>
      <c r="D242" s="1">
        <f t="shared" si="92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24" ht="15.75" x14ac:dyDescent="0.2">
      <c r="A243" s="113"/>
      <c r="B243" s="130"/>
      <c r="C243" s="51" t="s">
        <v>11</v>
      </c>
      <c r="D243" s="1">
        <f t="shared" si="92"/>
        <v>307198.09999999998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159665.60000000001</v>
      </c>
      <c r="K243" s="1">
        <f>173506.2-22060.2-31415.5</f>
        <v>120030.5</v>
      </c>
      <c r="L243" s="1">
        <f>151446-151446+27502</f>
        <v>27502</v>
      </c>
      <c r="M243" s="1">
        <f t="shared" ref="M243:N243" si="94">151446-151446</f>
        <v>0</v>
      </c>
      <c r="N243" s="1">
        <f t="shared" si="94"/>
        <v>0</v>
      </c>
      <c r="O243" s="1">
        <v>0</v>
      </c>
    </row>
    <row r="244" spans="1:24" ht="15.75" x14ac:dyDescent="0.2">
      <c r="A244" s="113"/>
      <c r="B244" s="130"/>
      <c r="C244" s="51" t="s">
        <v>12</v>
      </c>
      <c r="D244" s="1">
        <f t="shared" si="92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24" ht="24" customHeight="1" x14ac:dyDescent="0.2">
      <c r="A245" s="113"/>
      <c r="B245" s="131"/>
      <c r="C245" s="59" t="s">
        <v>13</v>
      </c>
      <c r="D245" s="1">
        <f t="shared" si="92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24" ht="15.75" x14ac:dyDescent="0.2">
      <c r="A246" s="108" t="s">
        <v>299</v>
      </c>
      <c r="B246" s="108" t="s">
        <v>305</v>
      </c>
      <c r="C246" s="51" t="s">
        <v>7</v>
      </c>
      <c r="D246" s="1">
        <f t="shared" si="92"/>
        <v>1528</v>
      </c>
      <c r="E246" s="1">
        <f t="shared" ref="E246:J246" si="95">E247+E248+E249+E250</f>
        <v>0</v>
      </c>
      <c r="F246" s="1">
        <f t="shared" si="95"/>
        <v>0</v>
      </c>
      <c r="G246" s="1">
        <f t="shared" si="95"/>
        <v>0</v>
      </c>
      <c r="H246" s="1">
        <f t="shared" si="95"/>
        <v>0</v>
      </c>
      <c r="I246" s="1">
        <f t="shared" si="95"/>
        <v>1528</v>
      </c>
      <c r="J246" s="1">
        <f t="shared" si="95"/>
        <v>0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24" ht="15.75" x14ac:dyDescent="0.2">
      <c r="A247" s="113"/>
      <c r="B247" s="113"/>
      <c r="C247" s="51" t="s">
        <v>10</v>
      </c>
      <c r="D247" s="1">
        <f t="shared" si="92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24" ht="15.75" x14ac:dyDescent="0.2">
      <c r="A248" s="113"/>
      <c r="B248" s="113"/>
      <c r="C248" s="51" t="s">
        <v>11</v>
      </c>
      <c r="D248" s="1">
        <f t="shared" si="92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24" ht="15.75" x14ac:dyDescent="0.2">
      <c r="A249" s="113"/>
      <c r="B249" s="113"/>
      <c r="C249" s="51" t="s">
        <v>12</v>
      </c>
      <c r="D249" s="1">
        <f t="shared" si="92"/>
        <v>1528</v>
      </c>
      <c r="E249" s="1">
        <v>0</v>
      </c>
      <c r="F249" s="1">
        <v>0</v>
      </c>
      <c r="G249" s="1">
        <v>0</v>
      </c>
      <c r="H249" s="1">
        <v>0</v>
      </c>
      <c r="I249" s="1">
        <v>1528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24" ht="24.75" customHeight="1" x14ac:dyDescent="0.2">
      <c r="A250" s="113"/>
      <c r="B250" s="113"/>
      <c r="C250" s="59" t="s">
        <v>13</v>
      </c>
      <c r="D250" s="1">
        <f t="shared" si="92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24" ht="42" customHeight="1" x14ac:dyDescent="0.2">
      <c r="A251" s="108" t="s">
        <v>301</v>
      </c>
      <c r="B251" s="108" t="s">
        <v>372</v>
      </c>
      <c r="C251" s="51" t="s">
        <v>7</v>
      </c>
      <c r="D251" s="1">
        <f t="shared" si="92"/>
        <v>50891.799999999996</v>
      </c>
      <c r="E251" s="1">
        <f t="shared" ref="E251:J251" si="96">E252+E253+E254+E255</f>
        <v>0</v>
      </c>
      <c r="F251" s="1">
        <f t="shared" si="96"/>
        <v>0</v>
      </c>
      <c r="G251" s="1">
        <f t="shared" si="96"/>
        <v>0</v>
      </c>
      <c r="H251" s="1">
        <f t="shared" si="96"/>
        <v>0</v>
      </c>
      <c r="I251" s="1">
        <f t="shared" si="96"/>
        <v>0</v>
      </c>
      <c r="J251" s="1">
        <f t="shared" si="96"/>
        <v>50891.799999999996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24" ht="19.5" customHeight="1" x14ac:dyDescent="0.2">
      <c r="A252" s="113"/>
      <c r="B252" s="113"/>
      <c r="C252" s="51" t="s">
        <v>10</v>
      </c>
      <c r="D252" s="1">
        <f t="shared" si="92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24" ht="15.75" x14ac:dyDescent="0.2">
      <c r="A253" s="113"/>
      <c r="B253" s="113"/>
      <c r="C253" s="51" t="s">
        <v>11</v>
      </c>
      <c r="D253" s="1">
        <f t="shared" si="92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24" ht="15.75" x14ac:dyDescent="0.2">
      <c r="A254" s="113"/>
      <c r="B254" s="113"/>
      <c r="C254" s="51" t="s">
        <v>12</v>
      </c>
      <c r="D254" s="1">
        <f t="shared" si="92"/>
        <v>50891.799999999996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f>58078.1-10000+10000-9132.4+146.1+1800</f>
        <v>50891.799999999996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24" ht="29.25" customHeight="1" x14ac:dyDescent="0.2">
      <c r="A255" s="113"/>
      <c r="B255" s="113"/>
      <c r="C255" s="59" t="s">
        <v>13</v>
      </c>
      <c r="D255" s="1">
        <f t="shared" si="92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24" ht="15.75" hidden="1" x14ac:dyDescent="0.2">
      <c r="A256" s="108"/>
      <c r="B256" s="97" t="s">
        <v>320</v>
      </c>
      <c r="C256" s="51" t="s">
        <v>7</v>
      </c>
      <c r="D256" s="1">
        <f t="shared" si="92"/>
        <v>0</v>
      </c>
      <c r="E256" s="1">
        <f t="shared" ref="E256:J256" si="97">E257+E258+E259+E260</f>
        <v>0</v>
      </c>
      <c r="F256" s="1">
        <f t="shared" si="97"/>
        <v>0</v>
      </c>
      <c r="G256" s="1">
        <f t="shared" si="97"/>
        <v>0</v>
      </c>
      <c r="H256" s="1">
        <f t="shared" si="97"/>
        <v>0</v>
      </c>
      <c r="I256" s="1">
        <f t="shared" si="97"/>
        <v>0</v>
      </c>
      <c r="J256" s="1">
        <f t="shared" si="97"/>
        <v>0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5" ht="15.75" hidden="1" x14ac:dyDescent="0.2">
      <c r="A257" s="113"/>
      <c r="B257" s="130"/>
      <c r="C257" s="51" t="s">
        <v>10</v>
      </c>
      <c r="D257" s="1">
        <f t="shared" si="92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5" ht="15.75" hidden="1" x14ac:dyDescent="0.2">
      <c r="A258" s="113"/>
      <c r="B258" s="130"/>
      <c r="C258" s="51" t="s">
        <v>11</v>
      </c>
      <c r="D258" s="1">
        <f t="shared" si="92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5" ht="15.75" hidden="1" x14ac:dyDescent="0.2">
      <c r="A259" s="113"/>
      <c r="B259" s="130"/>
      <c r="C259" s="51" t="s">
        <v>12</v>
      </c>
      <c r="D259" s="1">
        <f t="shared" si="92"/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5" ht="21.75" hidden="1" customHeight="1" x14ac:dyDescent="0.2">
      <c r="A260" s="113"/>
      <c r="B260" s="131"/>
      <c r="C260" s="59" t="s">
        <v>13</v>
      </c>
      <c r="D260" s="1">
        <f t="shared" si="92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5" ht="15.75" x14ac:dyDescent="0.2">
      <c r="A261" s="108" t="s">
        <v>304</v>
      </c>
      <c r="B261" s="97" t="s">
        <v>323</v>
      </c>
      <c r="C261" s="59" t="s">
        <v>7</v>
      </c>
      <c r="D261" s="1">
        <f t="shared" si="92"/>
        <v>1919</v>
      </c>
      <c r="E261" s="1">
        <f t="shared" ref="E261:J261" si="98">E262+E263+E264+E265</f>
        <v>0</v>
      </c>
      <c r="F261" s="1">
        <f t="shared" si="98"/>
        <v>0</v>
      </c>
      <c r="G261" s="1">
        <f t="shared" si="98"/>
        <v>0</v>
      </c>
      <c r="H261" s="1">
        <f t="shared" si="98"/>
        <v>0</v>
      </c>
      <c r="I261" s="1">
        <f t="shared" si="98"/>
        <v>0</v>
      </c>
      <c r="J261" s="1">
        <f t="shared" si="98"/>
        <v>1919</v>
      </c>
      <c r="K261" s="1">
        <f>K262+K263+K264+K265</f>
        <v>0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5" ht="15.75" x14ac:dyDescent="0.2">
      <c r="A262" s="113"/>
      <c r="B262" s="130"/>
      <c r="C262" s="59" t="s">
        <v>10</v>
      </c>
      <c r="D262" s="1">
        <f t="shared" si="92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5" ht="15.75" x14ac:dyDescent="0.2">
      <c r="A263" s="113"/>
      <c r="B263" s="130"/>
      <c r="C263" s="59" t="s">
        <v>11</v>
      </c>
      <c r="D263" s="1">
        <f t="shared" si="92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5" ht="15.75" x14ac:dyDescent="0.2">
      <c r="A264" s="113"/>
      <c r="B264" s="130"/>
      <c r="C264" s="59" t="s">
        <v>12</v>
      </c>
      <c r="D264" s="1">
        <f t="shared" si="92"/>
        <v>1919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2000-81</f>
        <v>1919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35.25" customHeight="1" x14ac:dyDescent="0.2">
      <c r="A265" s="113"/>
      <c r="B265" s="131"/>
      <c r="C265" s="59" t="s">
        <v>13</v>
      </c>
      <c r="D265" s="1">
        <f t="shared" si="92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5" ht="15.75" x14ac:dyDescent="0.2">
      <c r="A266" s="108" t="s">
        <v>319</v>
      </c>
      <c r="B266" s="97" t="s">
        <v>324</v>
      </c>
      <c r="C266" s="59" t="s">
        <v>7</v>
      </c>
      <c r="D266" s="1">
        <f t="shared" si="92"/>
        <v>15546.3</v>
      </c>
      <c r="E266" s="1">
        <f t="shared" ref="E266:J266" si="99">E267+E268+E269+E270</f>
        <v>0</v>
      </c>
      <c r="F266" s="1">
        <f t="shared" si="99"/>
        <v>0</v>
      </c>
      <c r="G266" s="1">
        <f t="shared" si="99"/>
        <v>0</v>
      </c>
      <c r="H266" s="1">
        <f t="shared" si="99"/>
        <v>0</v>
      </c>
      <c r="I266" s="1">
        <f t="shared" si="99"/>
        <v>0</v>
      </c>
      <c r="J266" s="1">
        <f t="shared" si="99"/>
        <v>7794.2999999999993</v>
      </c>
      <c r="K266" s="1">
        <f>K267+K268+K269+K270</f>
        <v>7752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5" ht="16.5" customHeight="1" x14ac:dyDescent="0.2">
      <c r="A267" s="113"/>
      <c r="B267" s="130"/>
      <c r="C267" s="51" t="s">
        <v>10</v>
      </c>
      <c r="D267" s="1">
        <f t="shared" si="92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5" ht="16.5" customHeight="1" x14ac:dyDescent="0.2">
      <c r="A268" s="113"/>
      <c r="B268" s="130"/>
      <c r="C268" s="51" t="s">
        <v>11</v>
      </c>
      <c r="D268" s="1">
        <f t="shared" si="92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5" ht="16.5" customHeight="1" x14ac:dyDescent="0.2">
      <c r="A269" s="113"/>
      <c r="B269" s="130"/>
      <c r="C269" s="51" t="s">
        <v>12</v>
      </c>
      <c r="D269" s="1">
        <f t="shared" si="92"/>
        <v>15546.3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8000-205.6-0.1</f>
        <v>7794.2999999999993</v>
      </c>
      <c r="K269" s="1">
        <f>8000-300+52</f>
        <v>7752</v>
      </c>
      <c r="L269" s="1">
        <v>0</v>
      </c>
      <c r="M269" s="1">
        <v>0</v>
      </c>
      <c r="N269" s="1">
        <v>0</v>
      </c>
      <c r="O269" s="1">
        <v>0</v>
      </c>
    </row>
    <row r="270" spans="1:15" ht="27.75" customHeight="1" x14ac:dyDescent="0.2">
      <c r="A270" s="113"/>
      <c r="B270" s="131"/>
      <c r="C270" s="59" t="s">
        <v>13</v>
      </c>
      <c r="D270" s="1">
        <f t="shared" si="92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5" ht="15.75" x14ac:dyDescent="0.2">
      <c r="A271" s="108" t="s">
        <v>321</v>
      </c>
      <c r="B271" s="108" t="s">
        <v>339</v>
      </c>
      <c r="C271" s="59" t="s">
        <v>7</v>
      </c>
      <c r="D271" s="1">
        <f t="shared" ref="D271:D280" si="100">E271+F271+G271+H271+I271+J271+K271+L271+M271+N271+O271</f>
        <v>9202</v>
      </c>
      <c r="E271" s="1">
        <f t="shared" ref="E271:J271" si="101">E272+E273+E274+E275</f>
        <v>0</v>
      </c>
      <c r="F271" s="1">
        <f t="shared" si="101"/>
        <v>0</v>
      </c>
      <c r="G271" s="1">
        <f t="shared" si="101"/>
        <v>0</v>
      </c>
      <c r="H271" s="1">
        <f t="shared" si="101"/>
        <v>0</v>
      </c>
      <c r="I271" s="1">
        <f t="shared" si="101"/>
        <v>0</v>
      </c>
      <c r="J271" s="1">
        <f t="shared" si="101"/>
        <v>9202</v>
      </c>
      <c r="K271" s="1">
        <f>K272+K273+K274+K275</f>
        <v>0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</row>
    <row r="272" spans="1:15" ht="16.5" customHeight="1" x14ac:dyDescent="0.2">
      <c r="A272" s="113"/>
      <c r="B272" s="113"/>
      <c r="C272" s="51" t="s">
        <v>10</v>
      </c>
      <c r="D272" s="1">
        <f t="shared" si="100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">
      <c r="A273" s="113"/>
      <c r="B273" s="113"/>
      <c r="C273" s="51" t="s">
        <v>11</v>
      </c>
      <c r="D273" s="1">
        <f t="shared" si="100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">
      <c r="A274" s="113"/>
      <c r="B274" s="113"/>
      <c r="C274" s="51" t="s">
        <v>12</v>
      </c>
      <c r="D274" s="1">
        <f t="shared" si="100"/>
        <v>9202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10000-798</f>
        <v>9202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24" ht="36" customHeight="1" x14ac:dyDescent="0.2">
      <c r="A275" s="113"/>
      <c r="B275" s="113"/>
      <c r="C275" s="59" t="s">
        <v>13</v>
      </c>
      <c r="D275" s="1">
        <f t="shared" si="100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1.25" customHeight="1" x14ac:dyDescent="0.2">
      <c r="A276" s="108" t="s">
        <v>322</v>
      </c>
      <c r="B276" s="108" t="s">
        <v>373</v>
      </c>
      <c r="C276" s="59" t="s">
        <v>7</v>
      </c>
      <c r="D276" s="1">
        <f t="shared" si="100"/>
        <v>8744.6</v>
      </c>
      <c r="E276" s="1">
        <f t="shared" ref="E276:J276" si="102">E277+E278+E279+E280</f>
        <v>0</v>
      </c>
      <c r="F276" s="1">
        <f t="shared" si="102"/>
        <v>0</v>
      </c>
      <c r="G276" s="1">
        <f t="shared" si="102"/>
        <v>0</v>
      </c>
      <c r="H276" s="1">
        <f>H277+H278+H279+H280</f>
        <v>0</v>
      </c>
      <c r="I276" s="1">
        <f t="shared" si="102"/>
        <v>0</v>
      </c>
      <c r="J276" s="1">
        <f t="shared" si="102"/>
        <v>8679.5</v>
      </c>
      <c r="K276" s="1">
        <f>K277+K278+K279+K280</f>
        <v>65.099999999999994</v>
      </c>
      <c r="L276" s="1">
        <f>L277+L278+L279+L280</f>
        <v>0</v>
      </c>
      <c r="M276" s="1">
        <f>M277+M278+M279+M280</f>
        <v>0</v>
      </c>
      <c r="N276" s="1">
        <f>N277+N278+N279+N280</f>
        <v>0</v>
      </c>
      <c r="O276" s="1">
        <f>O277+O278+O279+O280</f>
        <v>0</v>
      </c>
      <c r="P276" s="65" t="s">
        <v>348</v>
      </c>
    </row>
    <row r="277" spans="1:24" ht="16.5" customHeight="1" x14ac:dyDescent="0.2">
      <c r="A277" s="113"/>
      <c r="B277" s="113"/>
      <c r="C277" s="51" t="s">
        <v>10</v>
      </c>
      <c r="D277" s="1">
        <f t="shared" si="100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customHeight="1" x14ac:dyDescent="0.2">
      <c r="A278" s="113"/>
      <c r="B278" s="113"/>
      <c r="C278" s="51" t="s">
        <v>11</v>
      </c>
      <c r="D278" s="1">
        <f t="shared" si="100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</row>
    <row r="279" spans="1:24" ht="16.5" customHeight="1" x14ac:dyDescent="0.2">
      <c r="A279" s="113"/>
      <c r="B279" s="113"/>
      <c r="C279" s="51" t="s">
        <v>12</v>
      </c>
      <c r="D279" s="1">
        <f t="shared" si="100"/>
        <v>8744.6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f>8846.9-23.4-144</f>
        <v>8679.5</v>
      </c>
      <c r="K279" s="1">
        <f>0+65.1</f>
        <v>65.099999999999994</v>
      </c>
      <c r="L279" s="1">
        <v>0</v>
      </c>
      <c r="M279" s="1">
        <v>0</v>
      </c>
      <c r="N279" s="1">
        <v>0</v>
      </c>
      <c r="O279" s="1">
        <v>0</v>
      </c>
    </row>
    <row r="280" spans="1:24" ht="16.5" customHeight="1" x14ac:dyDescent="0.2">
      <c r="A280" s="113"/>
      <c r="B280" s="113"/>
      <c r="C280" s="59" t="s">
        <v>13</v>
      </c>
      <c r="D280" s="1">
        <f t="shared" si="100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42" hidden="1" customHeight="1" x14ac:dyDescent="0.2">
      <c r="A281" s="108" t="s">
        <v>425</v>
      </c>
      <c r="B281" s="108" t="s">
        <v>377</v>
      </c>
      <c r="C281" s="59" t="s">
        <v>7</v>
      </c>
      <c r="D281" s="1">
        <f t="shared" ref="D281:D302" si="103">E281+F281+G281+H281+I281+J281+K281+L281+M281+N281+O281</f>
        <v>0</v>
      </c>
      <c r="E281" s="1">
        <f t="shared" ref="E281:O281" si="104">E282+E283+E284+E285</f>
        <v>0</v>
      </c>
      <c r="F281" s="1">
        <f t="shared" si="104"/>
        <v>0</v>
      </c>
      <c r="G281" s="1">
        <f t="shared" si="104"/>
        <v>0</v>
      </c>
      <c r="H281" s="1">
        <f t="shared" si="104"/>
        <v>0</v>
      </c>
      <c r="I281" s="1">
        <f t="shared" si="104"/>
        <v>0</v>
      </c>
      <c r="J281" s="1">
        <f t="shared" si="104"/>
        <v>0</v>
      </c>
      <c r="K281" s="1">
        <f t="shared" si="104"/>
        <v>0</v>
      </c>
      <c r="L281" s="1">
        <f t="shared" si="104"/>
        <v>0</v>
      </c>
      <c r="M281" s="1">
        <f t="shared" si="104"/>
        <v>0</v>
      </c>
      <c r="N281" s="1">
        <f t="shared" si="104"/>
        <v>0</v>
      </c>
      <c r="O281" s="1">
        <f t="shared" si="104"/>
        <v>0</v>
      </c>
    </row>
    <row r="282" spans="1:24" ht="16.5" hidden="1" customHeight="1" x14ac:dyDescent="0.2">
      <c r="A282" s="113"/>
      <c r="B282" s="113"/>
      <c r="C282" s="51" t="s">
        <v>10</v>
      </c>
      <c r="D282" s="1">
        <f t="shared" si="103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hidden="1" customHeight="1" x14ac:dyDescent="0.2">
      <c r="A283" s="113"/>
      <c r="B283" s="113"/>
      <c r="C283" s="51" t="s">
        <v>11</v>
      </c>
      <c r="D283" s="1">
        <f t="shared" si="103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f>23500-23500</f>
        <v>0</v>
      </c>
      <c r="M283" s="1">
        <v>0</v>
      </c>
      <c r="N283" s="1">
        <v>0</v>
      </c>
      <c r="O283" s="1">
        <v>0</v>
      </c>
      <c r="X283" s="65" t="s">
        <v>424</v>
      </c>
    </row>
    <row r="284" spans="1:24" ht="16.5" hidden="1" customHeight="1" x14ac:dyDescent="0.2">
      <c r="A284" s="113"/>
      <c r="B284" s="113"/>
      <c r="C284" s="51" t="s">
        <v>12</v>
      </c>
      <c r="D284" s="1">
        <f t="shared" si="103"/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f>1500-1500</f>
        <v>0</v>
      </c>
      <c r="M284" s="1">
        <v>0</v>
      </c>
      <c r="N284" s="1">
        <v>0</v>
      </c>
      <c r="O284" s="1">
        <v>0</v>
      </c>
    </row>
    <row r="285" spans="1:24" ht="23.25" hidden="1" customHeight="1" x14ac:dyDescent="0.2">
      <c r="A285" s="113"/>
      <c r="B285" s="113"/>
      <c r="C285" s="59" t="s">
        <v>13</v>
      </c>
      <c r="D285" s="1">
        <f t="shared" si="103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75" x14ac:dyDescent="0.2">
      <c r="A286" s="108" t="s">
        <v>336</v>
      </c>
      <c r="B286" s="108" t="s">
        <v>366</v>
      </c>
      <c r="C286" s="59" t="s">
        <v>7</v>
      </c>
      <c r="D286" s="1">
        <f t="shared" si="103"/>
        <v>589.1</v>
      </c>
      <c r="E286" s="1">
        <f t="shared" ref="E286:O286" si="105">E287+E288+E289+E290</f>
        <v>0</v>
      </c>
      <c r="F286" s="1">
        <f t="shared" si="105"/>
        <v>0</v>
      </c>
      <c r="G286" s="1">
        <f t="shared" si="105"/>
        <v>0</v>
      </c>
      <c r="H286" s="1">
        <f t="shared" si="105"/>
        <v>0</v>
      </c>
      <c r="I286" s="1">
        <f t="shared" si="105"/>
        <v>0</v>
      </c>
      <c r="J286" s="1">
        <f t="shared" si="105"/>
        <v>0</v>
      </c>
      <c r="K286" s="1">
        <f t="shared" si="105"/>
        <v>589.1</v>
      </c>
      <c r="L286" s="1">
        <f t="shared" si="105"/>
        <v>0</v>
      </c>
      <c r="M286" s="1">
        <f t="shared" si="105"/>
        <v>0</v>
      </c>
      <c r="N286" s="1">
        <f t="shared" si="105"/>
        <v>0</v>
      </c>
      <c r="O286" s="1">
        <f t="shared" si="105"/>
        <v>0</v>
      </c>
    </row>
    <row r="287" spans="1:24" ht="16.5" customHeight="1" x14ac:dyDescent="0.2">
      <c r="A287" s="113"/>
      <c r="B287" s="113"/>
      <c r="C287" s="51" t="s">
        <v>10</v>
      </c>
      <c r="D287" s="1">
        <f t="shared" si="103"/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customHeight="1" x14ac:dyDescent="0.2">
      <c r="A288" s="113"/>
      <c r="B288" s="113"/>
      <c r="C288" s="51" t="s">
        <v>11</v>
      </c>
      <c r="D288" s="1">
        <f t="shared" si="103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customHeight="1" x14ac:dyDescent="0.2">
      <c r="A289" s="113"/>
      <c r="B289" s="113"/>
      <c r="C289" s="51" t="s">
        <v>12</v>
      </c>
      <c r="D289" s="1">
        <f t="shared" si="103"/>
        <v>589.1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f>2000-65.1-1345.7-0.1</f>
        <v>589.1</v>
      </c>
      <c r="L289" s="1">
        <v>0</v>
      </c>
      <c r="M289" s="1">
        <v>0</v>
      </c>
      <c r="N289" s="1">
        <v>0</v>
      </c>
      <c r="O289" s="1">
        <v>0</v>
      </c>
    </row>
    <row r="290" spans="1:24" ht="24" customHeight="1" x14ac:dyDescent="0.2">
      <c r="A290" s="113"/>
      <c r="B290" s="113"/>
      <c r="C290" s="59" t="s">
        <v>13</v>
      </c>
      <c r="D290" s="1">
        <f t="shared" si="103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75" hidden="1" x14ac:dyDescent="0.2">
      <c r="A291" s="108"/>
      <c r="B291" s="108" t="s">
        <v>388</v>
      </c>
      <c r="C291" s="59" t="s">
        <v>7</v>
      </c>
      <c r="D291" s="1">
        <f t="shared" si="103"/>
        <v>0</v>
      </c>
      <c r="E291" s="1">
        <f t="shared" ref="E291:O292" si="106">E292+E293+E294+E295</f>
        <v>0</v>
      </c>
      <c r="F291" s="1">
        <f t="shared" si="106"/>
        <v>0</v>
      </c>
      <c r="G291" s="1">
        <f t="shared" si="106"/>
        <v>0</v>
      </c>
      <c r="H291" s="1">
        <f t="shared" si="106"/>
        <v>0</v>
      </c>
      <c r="I291" s="1">
        <f t="shared" si="106"/>
        <v>0</v>
      </c>
      <c r="J291" s="1">
        <f t="shared" si="106"/>
        <v>0</v>
      </c>
      <c r="K291" s="1">
        <f t="shared" si="106"/>
        <v>0</v>
      </c>
      <c r="L291" s="1">
        <f t="shared" si="106"/>
        <v>0</v>
      </c>
      <c r="M291" s="1">
        <f t="shared" si="106"/>
        <v>0</v>
      </c>
      <c r="N291" s="1">
        <f t="shared" si="106"/>
        <v>0</v>
      </c>
      <c r="O291" s="1">
        <f t="shared" si="106"/>
        <v>0</v>
      </c>
    </row>
    <row r="292" spans="1:24" ht="16.5" hidden="1" customHeight="1" x14ac:dyDescent="0.2">
      <c r="A292" s="113"/>
      <c r="B292" s="113"/>
      <c r="C292" s="51" t="s">
        <v>10</v>
      </c>
      <c r="D292" s="1">
        <f t="shared" si="103"/>
        <v>0</v>
      </c>
      <c r="E292" s="1">
        <f t="shared" si="106"/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">
      <c r="A293" s="113"/>
      <c r="B293" s="113"/>
      <c r="C293" s="51" t="s">
        <v>11</v>
      </c>
      <c r="D293" s="1">
        <f t="shared" si="103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">
      <c r="A294" s="113"/>
      <c r="B294" s="113"/>
      <c r="C294" s="51" t="s">
        <v>12</v>
      </c>
      <c r="D294" s="1">
        <f t="shared" si="103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1.75" hidden="1" customHeight="1" x14ac:dyDescent="0.2">
      <c r="A295" s="113"/>
      <c r="B295" s="113"/>
      <c r="C295" s="59" t="s">
        <v>13</v>
      </c>
      <c r="D295" s="1">
        <f t="shared" si="103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ht="15.75" hidden="1" x14ac:dyDescent="0.2">
      <c r="A296" s="108"/>
      <c r="B296" s="108" t="s">
        <v>300</v>
      </c>
      <c r="C296" s="59" t="s">
        <v>7</v>
      </c>
      <c r="D296" s="1">
        <f t="shared" si="103"/>
        <v>0</v>
      </c>
      <c r="E296" s="1">
        <f t="shared" ref="E296:O296" si="107">E297+E298+E299+E300</f>
        <v>0</v>
      </c>
      <c r="F296" s="1">
        <f t="shared" si="107"/>
        <v>0</v>
      </c>
      <c r="G296" s="1">
        <f t="shared" si="107"/>
        <v>0</v>
      </c>
      <c r="H296" s="1">
        <f t="shared" si="107"/>
        <v>0</v>
      </c>
      <c r="I296" s="1">
        <f t="shared" si="107"/>
        <v>0</v>
      </c>
      <c r="J296" s="1">
        <f t="shared" si="107"/>
        <v>0</v>
      </c>
      <c r="K296" s="1">
        <f t="shared" si="107"/>
        <v>0</v>
      </c>
      <c r="L296" s="1">
        <f t="shared" si="107"/>
        <v>0</v>
      </c>
      <c r="M296" s="1">
        <f t="shared" si="107"/>
        <v>0</v>
      </c>
      <c r="N296" s="1">
        <f t="shared" si="107"/>
        <v>0</v>
      </c>
      <c r="O296" s="1">
        <f t="shared" si="107"/>
        <v>0</v>
      </c>
    </row>
    <row r="297" spans="1:24" ht="16.5" hidden="1" customHeight="1" x14ac:dyDescent="0.2">
      <c r="A297" s="113"/>
      <c r="B297" s="113"/>
      <c r="C297" s="51" t="s">
        <v>10</v>
      </c>
      <c r="D297" s="1">
        <f t="shared" si="103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ht="16.5" hidden="1" customHeight="1" x14ac:dyDescent="0.2">
      <c r="A298" s="113"/>
      <c r="B298" s="113"/>
      <c r="C298" s="51" t="s">
        <v>11</v>
      </c>
      <c r="D298" s="1">
        <f t="shared" si="103"/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</row>
    <row r="299" spans="1:24" ht="16.5" hidden="1" customHeight="1" x14ac:dyDescent="0.2">
      <c r="A299" s="113"/>
      <c r="B299" s="113"/>
      <c r="C299" s="51" t="s">
        <v>12</v>
      </c>
      <c r="D299" s="1">
        <f t="shared" si="103"/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f>4000-4000</f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ht="24" hidden="1" customHeight="1" x14ac:dyDescent="0.2">
      <c r="A300" s="113"/>
      <c r="B300" s="113"/>
      <c r="C300" s="59" t="s">
        <v>13</v>
      </c>
      <c r="D300" s="1">
        <f t="shared" si="103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4.75" customHeight="1" x14ac:dyDescent="0.2">
      <c r="A301" s="97" t="s">
        <v>338</v>
      </c>
      <c r="B301" s="97" t="s">
        <v>374</v>
      </c>
      <c r="C301" s="59" t="s">
        <v>7</v>
      </c>
      <c r="D301" s="1">
        <f t="shared" si="103"/>
        <v>75259.7</v>
      </c>
      <c r="E301" s="1">
        <f>E302+E303+E304+E305</f>
        <v>0</v>
      </c>
      <c r="F301" s="1">
        <f t="shared" ref="F301:O301" si="108">F302+F303+F304+F305</f>
        <v>0</v>
      </c>
      <c r="G301" s="1">
        <f t="shared" si="108"/>
        <v>0</v>
      </c>
      <c r="H301" s="1">
        <f t="shared" si="108"/>
        <v>0</v>
      </c>
      <c r="I301" s="1">
        <f t="shared" si="108"/>
        <v>0</v>
      </c>
      <c r="J301" s="1">
        <f t="shared" si="108"/>
        <v>0</v>
      </c>
      <c r="K301" s="1">
        <f t="shared" si="108"/>
        <v>75259.7</v>
      </c>
      <c r="L301" s="1">
        <f t="shared" si="108"/>
        <v>0</v>
      </c>
      <c r="M301" s="1">
        <f t="shared" si="108"/>
        <v>0</v>
      </c>
      <c r="N301" s="1">
        <f t="shared" si="108"/>
        <v>0</v>
      </c>
      <c r="O301" s="1">
        <f t="shared" si="108"/>
        <v>0</v>
      </c>
    </row>
    <row r="302" spans="1:24" s="8" customFormat="1" ht="24.75" customHeight="1" x14ac:dyDescent="0.2">
      <c r="A302" s="98"/>
      <c r="B302" s="98"/>
      <c r="C302" s="51" t="s">
        <v>10</v>
      </c>
      <c r="D302" s="1">
        <f t="shared" si="103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4.75" customHeight="1" x14ac:dyDescent="0.2">
      <c r="A303" s="98"/>
      <c r="B303" s="98"/>
      <c r="C303" s="51" t="s">
        <v>11</v>
      </c>
      <c r="D303" s="1">
        <f>E303+F303+G303+H303+I303+J303+K303+L303+M303+N303+O303</f>
        <v>75259.7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f>139260-42274.5-21725.8</f>
        <v>75259.7</v>
      </c>
      <c r="L303" s="1">
        <f>44738.1-44738.1</f>
        <v>0</v>
      </c>
      <c r="M303" s="1">
        <f t="shared" ref="M303:N303" si="109">44738.1-44738.1</f>
        <v>0</v>
      </c>
      <c r="N303" s="1">
        <f t="shared" si="109"/>
        <v>0</v>
      </c>
      <c r="O303" s="1">
        <v>0</v>
      </c>
      <c r="X303" s="82"/>
    </row>
    <row r="304" spans="1:24" s="8" customFormat="1" ht="24.75" customHeight="1" x14ac:dyDescent="0.2">
      <c r="A304" s="98"/>
      <c r="B304" s="98"/>
      <c r="C304" s="51" t="s">
        <v>12</v>
      </c>
      <c r="D304" s="1">
        <f t="shared" ref="D304:D310" si="110">E304+F304+G304+H304+I304+J304+K304+L304+M304+N304+O304</f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4.75" customHeight="1" x14ac:dyDescent="0.2">
      <c r="A305" s="99"/>
      <c r="B305" s="99"/>
      <c r="C305" s="59" t="s">
        <v>13</v>
      </c>
      <c r="D305" s="1">
        <f t="shared" si="110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22.5" customHeight="1" x14ac:dyDescent="0.2">
      <c r="A306" s="108" t="s">
        <v>345</v>
      </c>
      <c r="B306" s="108" t="s">
        <v>380</v>
      </c>
      <c r="C306" s="51" t="s">
        <v>7</v>
      </c>
      <c r="D306" s="1">
        <f t="shared" si="110"/>
        <v>553.4</v>
      </c>
      <c r="E306" s="1">
        <f>E307+E308+E309+E310</f>
        <v>0</v>
      </c>
      <c r="F306" s="1">
        <f t="shared" ref="F306:L306" si="111">F307+F308+F309+F310</f>
        <v>0</v>
      </c>
      <c r="G306" s="1">
        <f t="shared" si="111"/>
        <v>0</v>
      </c>
      <c r="H306" s="1">
        <f t="shared" si="111"/>
        <v>0</v>
      </c>
      <c r="I306" s="1">
        <f t="shared" si="111"/>
        <v>0</v>
      </c>
      <c r="J306" s="1">
        <f t="shared" si="111"/>
        <v>0</v>
      </c>
      <c r="K306" s="1">
        <f t="shared" si="111"/>
        <v>553.4</v>
      </c>
      <c r="L306" s="1">
        <f t="shared" si="111"/>
        <v>0</v>
      </c>
      <c r="M306" s="1">
        <f t="shared" ref="M306" si="112">M307+M308+M309+M310</f>
        <v>0</v>
      </c>
      <c r="N306" s="1">
        <f t="shared" ref="N306" si="113">N307+N308+N309+N310</f>
        <v>0</v>
      </c>
      <c r="O306" s="1">
        <f t="shared" ref="O306" si="114">O307+O308+O309+O310</f>
        <v>0</v>
      </c>
    </row>
    <row r="307" spans="1:15" s="8" customFormat="1" ht="22.5" customHeight="1" x14ac:dyDescent="0.2">
      <c r="A307" s="113"/>
      <c r="B307" s="108"/>
      <c r="C307" s="59" t="s">
        <v>10</v>
      </c>
      <c r="D307" s="1">
        <f t="shared" si="110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22.5" customHeight="1" x14ac:dyDescent="0.2">
      <c r="A308" s="113"/>
      <c r="B308" s="108"/>
      <c r="C308" s="59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22.5" customHeight="1" x14ac:dyDescent="0.2">
      <c r="A309" s="113"/>
      <c r="B309" s="108"/>
      <c r="C309" s="59" t="s">
        <v>12</v>
      </c>
      <c r="D309" s="1">
        <f t="shared" si="110"/>
        <v>553.4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553.4</v>
      </c>
      <c r="L309" s="1">
        <v>0</v>
      </c>
      <c r="M309" s="1">
        <v>0</v>
      </c>
      <c r="N309" s="1">
        <v>0</v>
      </c>
      <c r="O309" s="1">
        <v>0</v>
      </c>
    </row>
    <row r="310" spans="1:15" s="8" customFormat="1" ht="33.75" customHeight="1" x14ac:dyDescent="0.2">
      <c r="A310" s="113"/>
      <c r="B310" s="108"/>
      <c r="C310" s="59" t="s">
        <v>13</v>
      </c>
      <c r="D310" s="1">
        <f t="shared" si="110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">
      <c r="A311" s="108" t="s">
        <v>347</v>
      </c>
      <c r="B311" s="108" t="s">
        <v>383</v>
      </c>
      <c r="C311" s="51" t="s">
        <v>7</v>
      </c>
      <c r="D311" s="1">
        <f t="shared" ref="D311:D312" si="115">E311+F311+G311+H311+I311+J311+K311+L311+M311+N311+O311</f>
        <v>4165.1000000000004</v>
      </c>
      <c r="E311" s="1">
        <f>E312+E313+E314+E315</f>
        <v>0</v>
      </c>
      <c r="F311" s="1">
        <f t="shared" ref="F311:O311" si="116">F312+F313+F314+F315</f>
        <v>0</v>
      </c>
      <c r="G311" s="1">
        <f t="shared" si="116"/>
        <v>0</v>
      </c>
      <c r="H311" s="1">
        <f t="shared" si="116"/>
        <v>0</v>
      </c>
      <c r="I311" s="1">
        <f t="shared" si="116"/>
        <v>0</v>
      </c>
      <c r="J311" s="1">
        <f t="shared" si="116"/>
        <v>0</v>
      </c>
      <c r="K311" s="1">
        <f t="shared" si="116"/>
        <v>2648</v>
      </c>
      <c r="L311" s="1">
        <f t="shared" si="116"/>
        <v>1101.0999999999999</v>
      </c>
      <c r="M311" s="1">
        <f t="shared" si="116"/>
        <v>416</v>
      </c>
      <c r="N311" s="1">
        <f t="shared" si="116"/>
        <v>0</v>
      </c>
      <c r="O311" s="1">
        <f t="shared" si="116"/>
        <v>0</v>
      </c>
    </row>
    <row r="312" spans="1:15" s="8" customFormat="1" ht="18.75" customHeight="1" x14ac:dyDescent="0.2">
      <c r="A312" s="113"/>
      <c r="B312" s="108"/>
      <c r="C312" s="59" t="s">
        <v>10</v>
      </c>
      <c r="D312" s="1">
        <f t="shared" si="115"/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">
      <c r="A313" s="113"/>
      <c r="B313" s="108"/>
      <c r="C313" s="59" t="s">
        <v>11</v>
      </c>
      <c r="D313" s="1">
        <f>E313+F313+G313+H313+I313+J313+K313+L313+M313+N313+O313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">
      <c r="A314" s="113"/>
      <c r="B314" s="108"/>
      <c r="C314" s="59" t="s">
        <v>12</v>
      </c>
      <c r="D314" s="1">
        <f t="shared" ref="D314:D315" si="117">E314+F314+G314+H314+I314+J314+K314+L314+M314+N314+O314</f>
        <v>4165.1000000000004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2648</v>
      </c>
      <c r="L314" s="1">
        <f>1668.6-567.5</f>
        <v>1101.0999999999999</v>
      </c>
      <c r="M314" s="1">
        <v>416</v>
      </c>
      <c r="N314" s="1">
        <v>0</v>
      </c>
      <c r="O314" s="1">
        <v>0</v>
      </c>
    </row>
    <row r="315" spans="1:15" s="8" customFormat="1" ht="33.75" customHeight="1" x14ac:dyDescent="0.2">
      <c r="A315" s="113"/>
      <c r="B315" s="108"/>
      <c r="C315" s="59" t="s">
        <v>13</v>
      </c>
      <c r="D315" s="1">
        <f t="shared" si="117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customHeight="1" x14ac:dyDescent="0.2">
      <c r="A316" s="97" t="s">
        <v>408</v>
      </c>
      <c r="B316" s="97" t="s">
        <v>389</v>
      </c>
      <c r="C316" s="51" t="s">
        <v>7</v>
      </c>
      <c r="D316" s="1">
        <f>SUM(D317:D320)</f>
        <v>251.1</v>
      </c>
      <c r="E316" s="1">
        <f t="shared" ref="E316:J316" si="118">SUM(E317:E320)</f>
        <v>0</v>
      </c>
      <c r="F316" s="1">
        <f t="shared" si="118"/>
        <v>0</v>
      </c>
      <c r="G316" s="1">
        <f t="shared" si="118"/>
        <v>0</v>
      </c>
      <c r="H316" s="1">
        <f t="shared" si="118"/>
        <v>0</v>
      </c>
      <c r="I316" s="1">
        <f t="shared" si="118"/>
        <v>0</v>
      </c>
      <c r="J316" s="1">
        <f t="shared" si="118"/>
        <v>0</v>
      </c>
      <c r="K316" s="1">
        <f>SUM(K317:K320)</f>
        <v>251.1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customHeight="1" x14ac:dyDescent="0.2">
      <c r="A317" s="98"/>
      <c r="B317" s="98"/>
      <c r="C317" s="59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customHeight="1" x14ac:dyDescent="0.2">
      <c r="A318" s="98"/>
      <c r="B318" s="98"/>
      <c r="C318" s="59" t="s">
        <v>11</v>
      </c>
      <c r="D318" s="1">
        <f t="shared" ref="D318:D320" si="119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customHeight="1" x14ac:dyDescent="0.2">
      <c r="A319" s="98"/>
      <c r="B319" s="98"/>
      <c r="C319" s="59" t="s">
        <v>12</v>
      </c>
      <c r="D319" s="1">
        <f t="shared" si="119"/>
        <v>251.1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451-199.9</f>
        <v>251.1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35.25" customHeight="1" x14ac:dyDescent="0.2">
      <c r="A320" s="99"/>
      <c r="B320" s="99"/>
      <c r="C320" s="59" t="s">
        <v>13</v>
      </c>
      <c r="D320" s="1">
        <f t="shared" si="119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hidden="1" customHeight="1" x14ac:dyDescent="0.2">
      <c r="A321" s="97"/>
      <c r="B321" s="97" t="s">
        <v>401</v>
      </c>
      <c r="C321" s="51" t="s">
        <v>7</v>
      </c>
      <c r="D321" s="1">
        <f>SUM(D322:D325)</f>
        <v>0</v>
      </c>
      <c r="E321" s="1">
        <f t="shared" ref="E321:J321" si="120">SUM(E322:E325)</f>
        <v>0</v>
      </c>
      <c r="F321" s="1">
        <f t="shared" si="120"/>
        <v>0</v>
      </c>
      <c r="G321" s="1">
        <f t="shared" si="120"/>
        <v>0</v>
      </c>
      <c r="H321" s="1">
        <f t="shared" si="120"/>
        <v>0</v>
      </c>
      <c r="I321" s="1">
        <f t="shared" si="120"/>
        <v>0</v>
      </c>
      <c r="J321" s="1">
        <f t="shared" si="120"/>
        <v>0</v>
      </c>
      <c r="K321" s="1">
        <f>SUM(K322:K325)</f>
        <v>0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hidden="1" customHeight="1" x14ac:dyDescent="0.2">
      <c r="A322" s="98"/>
      <c r="B322" s="98"/>
      <c r="C322" s="59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</row>
    <row r="323" spans="1:22" s="8" customFormat="1" ht="18.75" hidden="1" customHeight="1" x14ac:dyDescent="0.2">
      <c r="A323" s="98"/>
      <c r="B323" s="98"/>
      <c r="C323" s="59" t="s">
        <v>11</v>
      </c>
      <c r="D323" s="1">
        <f t="shared" ref="D323:D325" si="121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</row>
    <row r="324" spans="1:22" s="8" customFormat="1" ht="18.75" hidden="1" customHeight="1" x14ac:dyDescent="0.2">
      <c r="A324" s="98"/>
      <c r="B324" s="98"/>
      <c r="C324" s="59" t="s">
        <v>12</v>
      </c>
      <c r="D324" s="1">
        <f t="shared" si="121"/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f>3553.2-3553.2</f>
        <v>0</v>
      </c>
      <c r="L324" s="1">
        <v>0</v>
      </c>
      <c r="M324" s="1">
        <v>0</v>
      </c>
      <c r="N324" s="1">
        <v>0</v>
      </c>
      <c r="O324" s="1">
        <v>0</v>
      </c>
    </row>
    <row r="325" spans="1:22" s="8" customFormat="1" ht="18.75" hidden="1" customHeight="1" x14ac:dyDescent="0.2">
      <c r="A325" s="99"/>
      <c r="B325" s="99"/>
      <c r="C325" s="59" t="s">
        <v>13</v>
      </c>
      <c r="D325" s="1">
        <f t="shared" si="121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</row>
    <row r="326" spans="1:22" s="8" customFormat="1" ht="18.75" customHeight="1" x14ac:dyDescent="0.2">
      <c r="A326" s="97" t="s">
        <v>406</v>
      </c>
      <c r="B326" s="97" t="s">
        <v>407</v>
      </c>
      <c r="C326" s="51" t="s">
        <v>7</v>
      </c>
      <c r="D326" s="1">
        <f>SUM(D327:D330)</f>
        <v>994.1</v>
      </c>
      <c r="E326" s="1">
        <f t="shared" ref="E326:J326" si="122">SUM(E327:E330)</f>
        <v>0</v>
      </c>
      <c r="F326" s="1">
        <f t="shared" si="122"/>
        <v>0</v>
      </c>
      <c r="G326" s="1">
        <f t="shared" si="122"/>
        <v>0</v>
      </c>
      <c r="H326" s="1">
        <f t="shared" si="122"/>
        <v>0</v>
      </c>
      <c r="I326" s="1">
        <f t="shared" si="122"/>
        <v>0</v>
      </c>
      <c r="J326" s="1">
        <f t="shared" si="122"/>
        <v>0</v>
      </c>
      <c r="K326" s="1">
        <f>SUM(K327:K330)</f>
        <v>994.1</v>
      </c>
      <c r="L326" s="1">
        <v>0</v>
      </c>
      <c r="M326" s="1">
        <v>0</v>
      </c>
      <c r="N326" s="1">
        <v>0</v>
      </c>
      <c r="O326" s="1">
        <v>0</v>
      </c>
    </row>
    <row r="327" spans="1:22" s="8" customFormat="1" ht="18.75" customHeight="1" x14ac:dyDescent="0.2">
      <c r="A327" s="98"/>
      <c r="B327" s="98"/>
      <c r="C327" s="59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</row>
    <row r="328" spans="1:22" s="8" customFormat="1" ht="18.75" customHeight="1" x14ac:dyDescent="0.2">
      <c r="A328" s="98"/>
      <c r="B328" s="98"/>
      <c r="C328" s="59" t="s">
        <v>11</v>
      </c>
      <c r="D328" s="1">
        <f t="shared" ref="D328:D330" si="123">SUM(E328:O328)</f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</row>
    <row r="329" spans="1:22" s="8" customFormat="1" ht="18.75" customHeight="1" x14ac:dyDescent="0.2">
      <c r="A329" s="98"/>
      <c r="B329" s="98"/>
      <c r="C329" s="59" t="s">
        <v>12</v>
      </c>
      <c r="D329" s="1">
        <f t="shared" si="123"/>
        <v>994.1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994.1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</row>
    <row r="330" spans="1:22" s="8" customFormat="1" ht="33.75" customHeight="1" x14ac:dyDescent="0.2">
      <c r="A330" s="99"/>
      <c r="B330" s="99"/>
      <c r="C330" s="59" t="s">
        <v>13</v>
      </c>
      <c r="D330" s="1">
        <f t="shared" si="123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</row>
    <row r="331" spans="1:22" s="8" customFormat="1" ht="18.75" customHeight="1" x14ac:dyDescent="0.2">
      <c r="A331" s="97" t="s">
        <v>381</v>
      </c>
      <c r="B331" s="97" t="s">
        <v>419</v>
      </c>
      <c r="C331" s="51" t="s">
        <v>7</v>
      </c>
      <c r="D331" s="1">
        <f>SUM(D332:D335)</f>
        <v>1269013.2000000002</v>
      </c>
      <c r="E331" s="1">
        <f t="shared" ref="E331:J331" si="124">SUM(E332:E335)</f>
        <v>0</v>
      </c>
      <c r="F331" s="1">
        <f t="shared" si="124"/>
        <v>0</v>
      </c>
      <c r="G331" s="1">
        <f t="shared" si="124"/>
        <v>0</v>
      </c>
      <c r="H331" s="1">
        <f t="shared" si="124"/>
        <v>0</v>
      </c>
      <c r="I331" s="1">
        <f t="shared" si="124"/>
        <v>0</v>
      </c>
      <c r="J331" s="1">
        <f t="shared" si="124"/>
        <v>0</v>
      </c>
      <c r="K331" s="1">
        <f>SUM(K332:K335)</f>
        <v>0</v>
      </c>
      <c r="L331" s="1">
        <f t="shared" ref="L331:O331" si="125">SUM(L332:L335)</f>
        <v>429013.19999999995</v>
      </c>
      <c r="M331" s="1">
        <f t="shared" si="125"/>
        <v>840000</v>
      </c>
      <c r="N331" s="1">
        <f t="shared" si="125"/>
        <v>0</v>
      </c>
      <c r="O331" s="1">
        <f t="shared" si="125"/>
        <v>0</v>
      </c>
      <c r="P331" s="77"/>
      <c r="Q331" s="77"/>
      <c r="R331" s="77"/>
      <c r="S331" s="77"/>
      <c r="T331" s="77"/>
      <c r="U331" s="77"/>
      <c r="V331" s="77"/>
    </row>
    <row r="332" spans="1:22" s="8" customFormat="1" ht="18.75" customHeight="1" x14ac:dyDescent="0.2">
      <c r="A332" s="98"/>
      <c r="B332" s="98"/>
      <c r="C332" s="59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7"/>
      <c r="Q332" s="77"/>
      <c r="R332" s="77"/>
      <c r="S332" s="77"/>
      <c r="T332" s="77"/>
      <c r="U332" s="77"/>
      <c r="V332" s="77"/>
    </row>
    <row r="333" spans="1:22" s="8" customFormat="1" ht="18.75" customHeight="1" x14ac:dyDescent="0.2">
      <c r="A333" s="98"/>
      <c r="B333" s="98"/>
      <c r="C333" s="59" t="s">
        <v>11</v>
      </c>
      <c r="D333" s="1">
        <f t="shared" ref="D333:D335" si="126">SUM(E333:O333)</f>
        <v>1256323.1000000001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f>L338+L343</f>
        <v>424723.1</v>
      </c>
      <c r="M333" s="1">
        <f t="shared" ref="M333:V333" si="127">M338+M343</f>
        <v>831600</v>
      </c>
      <c r="N333" s="1">
        <f t="shared" si="127"/>
        <v>0</v>
      </c>
      <c r="O333" s="1">
        <f t="shared" si="127"/>
        <v>0</v>
      </c>
      <c r="P333" s="1">
        <f t="shared" si="127"/>
        <v>0</v>
      </c>
      <c r="Q333" s="1">
        <f t="shared" si="127"/>
        <v>0</v>
      </c>
      <c r="R333" s="1">
        <f t="shared" si="127"/>
        <v>0</v>
      </c>
      <c r="S333" s="1">
        <f t="shared" si="127"/>
        <v>0</v>
      </c>
      <c r="T333" s="1">
        <f t="shared" si="127"/>
        <v>0</v>
      </c>
      <c r="U333" s="1">
        <f t="shared" si="127"/>
        <v>0</v>
      </c>
      <c r="V333" s="1">
        <f t="shared" si="127"/>
        <v>0</v>
      </c>
    </row>
    <row r="334" spans="1:22" s="8" customFormat="1" ht="18.75" customHeight="1" x14ac:dyDescent="0.2">
      <c r="A334" s="98"/>
      <c r="B334" s="98"/>
      <c r="C334" s="59" t="s">
        <v>12</v>
      </c>
      <c r="D334" s="1">
        <f t="shared" si="126"/>
        <v>12690.1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f>L339++L344</f>
        <v>4290.1000000000004</v>
      </c>
      <c r="M334" s="1">
        <f t="shared" ref="M334:O334" si="128">M339++M344</f>
        <v>8400</v>
      </c>
      <c r="N334" s="1">
        <f t="shared" si="128"/>
        <v>0</v>
      </c>
      <c r="O334" s="1">
        <f t="shared" si="128"/>
        <v>0</v>
      </c>
      <c r="P334" s="77"/>
      <c r="Q334" s="77"/>
      <c r="R334" s="77"/>
      <c r="S334" s="77"/>
      <c r="T334" s="77"/>
      <c r="U334" s="77"/>
      <c r="V334" s="77"/>
    </row>
    <row r="335" spans="1:22" s="8" customFormat="1" ht="36.75" customHeight="1" x14ac:dyDescent="0.2">
      <c r="A335" s="99"/>
      <c r="B335" s="99"/>
      <c r="C335" s="59" t="s">
        <v>13</v>
      </c>
      <c r="D335" s="1">
        <f t="shared" si="126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7"/>
      <c r="Q335" s="77"/>
      <c r="R335" s="77"/>
      <c r="S335" s="77"/>
      <c r="T335" s="77"/>
      <c r="U335" s="77"/>
      <c r="V335" s="77"/>
    </row>
    <row r="336" spans="1:22" s="8" customFormat="1" ht="21" customHeight="1" x14ac:dyDescent="0.2">
      <c r="A336" s="97" t="s">
        <v>426</v>
      </c>
      <c r="B336" s="97" t="s">
        <v>418</v>
      </c>
      <c r="C336" s="51" t="s">
        <v>7</v>
      </c>
      <c r="D336" s="1">
        <f>SUM(D337:D340)</f>
        <v>1200000</v>
      </c>
      <c r="E336" s="1">
        <f t="shared" ref="E336:J336" si="129">SUM(E337:E340)</f>
        <v>0</v>
      </c>
      <c r="F336" s="1">
        <f t="shared" si="129"/>
        <v>0</v>
      </c>
      <c r="G336" s="1">
        <f t="shared" si="129"/>
        <v>0</v>
      </c>
      <c r="H336" s="1">
        <f t="shared" si="129"/>
        <v>0</v>
      </c>
      <c r="I336" s="1">
        <f t="shared" si="129"/>
        <v>0</v>
      </c>
      <c r="J336" s="1">
        <f t="shared" si="129"/>
        <v>0</v>
      </c>
      <c r="K336" s="1">
        <f>SUM(K337:K340)</f>
        <v>0</v>
      </c>
      <c r="L336" s="1">
        <f t="shared" ref="L336:O336" si="130">SUM(L337:L340)</f>
        <v>360000</v>
      </c>
      <c r="M336" s="1">
        <f t="shared" si="130"/>
        <v>840000</v>
      </c>
      <c r="N336" s="1">
        <f t="shared" si="130"/>
        <v>0</v>
      </c>
      <c r="O336" s="1">
        <f t="shared" si="130"/>
        <v>0</v>
      </c>
      <c r="P336" s="77"/>
      <c r="Q336" s="77"/>
      <c r="R336" s="77"/>
      <c r="S336" s="77"/>
      <c r="T336" s="77"/>
      <c r="U336" s="77"/>
      <c r="V336" s="77"/>
    </row>
    <row r="337" spans="1:22" s="8" customFormat="1" ht="21" customHeight="1" x14ac:dyDescent="0.2">
      <c r="A337" s="98"/>
      <c r="B337" s="98"/>
      <c r="C337" s="59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7"/>
      <c r="Q337" s="77"/>
      <c r="R337" s="77"/>
      <c r="S337" s="77"/>
      <c r="T337" s="77"/>
      <c r="U337" s="77"/>
      <c r="V337" s="77"/>
    </row>
    <row r="338" spans="1:22" s="8" customFormat="1" ht="21" customHeight="1" x14ac:dyDescent="0.2">
      <c r="A338" s="98"/>
      <c r="B338" s="98"/>
      <c r="C338" s="59" t="s">
        <v>11</v>
      </c>
      <c r="D338" s="1">
        <f t="shared" ref="D338:D340" si="131">SUM(E338:O338)</f>
        <v>1188000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356400</v>
      </c>
      <c r="M338" s="1">
        <v>831600</v>
      </c>
      <c r="N338" s="1">
        <v>0</v>
      </c>
      <c r="O338" s="1">
        <v>0</v>
      </c>
      <c r="P338" s="77"/>
      <c r="Q338" s="77"/>
      <c r="R338" s="77"/>
      <c r="S338" s="77"/>
      <c r="T338" s="77"/>
      <c r="U338" s="77"/>
      <c r="V338" s="77"/>
    </row>
    <row r="339" spans="1:22" s="8" customFormat="1" ht="21" customHeight="1" x14ac:dyDescent="0.2">
      <c r="A339" s="98"/>
      <c r="B339" s="98"/>
      <c r="C339" s="59" t="s">
        <v>12</v>
      </c>
      <c r="D339" s="1">
        <f t="shared" si="131"/>
        <v>12000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3600</v>
      </c>
      <c r="M339" s="1">
        <v>8400</v>
      </c>
      <c r="N339" s="1">
        <v>0</v>
      </c>
      <c r="O339" s="1">
        <v>0</v>
      </c>
      <c r="P339" s="77"/>
      <c r="Q339" s="77"/>
      <c r="R339" s="77"/>
      <c r="S339" s="77"/>
      <c r="T339" s="77"/>
      <c r="U339" s="77"/>
      <c r="V339" s="77"/>
    </row>
    <row r="340" spans="1:22" s="8" customFormat="1" ht="30.75" customHeight="1" x14ac:dyDescent="0.2">
      <c r="A340" s="99"/>
      <c r="B340" s="99"/>
      <c r="C340" s="59" t="s">
        <v>13</v>
      </c>
      <c r="D340" s="1">
        <f t="shared" si="131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7"/>
      <c r="Q340" s="77"/>
      <c r="R340" s="77"/>
      <c r="S340" s="77"/>
      <c r="T340" s="77"/>
      <c r="U340" s="77"/>
      <c r="V340" s="77"/>
    </row>
    <row r="341" spans="1:22" s="8" customFormat="1" ht="21" customHeight="1" x14ac:dyDescent="0.2">
      <c r="A341" s="97" t="s">
        <v>427</v>
      </c>
      <c r="B341" s="97" t="s">
        <v>415</v>
      </c>
      <c r="C341" s="51" t="s">
        <v>7</v>
      </c>
      <c r="D341" s="1">
        <f>SUM(D342:D345)</f>
        <v>69013.200000000012</v>
      </c>
      <c r="E341" s="1">
        <f t="shared" ref="E341:J341" si="132">SUM(E342:E345)</f>
        <v>0</v>
      </c>
      <c r="F341" s="1">
        <f t="shared" si="132"/>
        <v>0</v>
      </c>
      <c r="G341" s="1">
        <f t="shared" si="132"/>
        <v>0</v>
      </c>
      <c r="H341" s="1">
        <f t="shared" si="132"/>
        <v>0</v>
      </c>
      <c r="I341" s="1">
        <f t="shared" si="132"/>
        <v>0</v>
      </c>
      <c r="J341" s="1">
        <f t="shared" si="132"/>
        <v>0</v>
      </c>
      <c r="K341" s="1">
        <f>SUM(K342:K345)</f>
        <v>0</v>
      </c>
      <c r="L341" s="1">
        <f t="shared" ref="L341:O341" si="133">SUM(L342:L345)</f>
        <v>69013.200000000012</v>
      </c>
      <c r="M341" s="1">
        <f t="shared" si="133"/>
        <v>0</v>
      </c>
      <c r="N341" s="1">
        <f t="shared" si="133"/>
        <v>0</v>
      </c>
      <c r="O341" s="1">
        <f t="shared" si="133"/>
        <v>0</v>
      </c>
      <c r="P341" s="77"/>
      <c r="Q341" s="77"/>
      <c r="R341" s="77"/>
      <c r="S341" s="77"/>
      <c r="T341" s="77"/>
      <c r="U341" s="77"/>
      <c r="V341" s="77"/>
    </row>
    <row r="342" spans="1:22" s="8" customFormat="1" ht="21" customHeight="1" x14ac:dyDescent="0.2">
      <c r="A342" s="98"/>
      <c r="B342" s="98"/>
      <c r="C342" s="59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7"/>
      <c r="Q342" s="77"/>
      <c r="R342" s="77"/>
      <c r="S342" s="77"/>
      <c r="T342" s="77"/>
      <c r="U342" s="77"/>
      <c r="V342" s="77"/>
    </row>
    <row r="343" spans="1:22" s="8" customFormat="1" ht="21" customHeight="1" x14ac:dyDescent="0.2">
      <c r="A343" s="98"/>
      <c r="B343" s="98"/>
      <c r="C343" s="59" t="s">
        <v>11</v>
      </c>
      <c r="D343" s="1">
        <f t="shared" ref="D343:D345" si="134">SUM(E343:O343)</f>
        <v>68323.100000000006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f>68322.8 - 1.7+2</f>
        <v>68323.100000000006</v>
      </c>
      <c r="M343" s="1">
        <v>0</v>
      </c>
      <c r="N343" s="1">
        <v>0</v>
      </c>
      <c r="O343" s="1">
        <v>0</v>
      </c>
      <c r="P343" s="77"/>
      <c r="Q343" s="77"/>
      <c r="R343" s="77"/>
      <c r="S343" s="77"/>
      <c r="T343" s="77"/>
      <c r="U343" s="77"/>
      <c r="V343" s="77"/>
    </row>
    <row r="344" spans="1:22" s="8" customFormat="1" ht="21" customHeight="1" x14ac:dyDescent="0.2">
      <c r="A344" s="98"/>
      <c r="B344" s="98"/>
      <c r="C344" s="59" t="s">
        <v>12</v>
      </c>
      <c r="D344" s="1">
        <f t="shared" si="134"/>
        <v>690.1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690.1</v>
      </c>
      <c r="M344" s="1">
        <v>0</v>
      </c>
      <c r="N344" s="1">
        <v>0</v>
      </c>
      <c r="O344" s="1">
        <v>0</v>
      </c>
      <c r="P344" s="77"/>
      <c r="Q344" s="77"/>
      <c r="R344" s="77"/>
      <c r="S344" s="77"/>
      <c r="T344" s="77"/>
      <c r="U344" s="77"/>
      <c r="V344" s="77"/>
    </row>
    <row r="345" spans="1:22" s="8" customFormat="1" ht="36" customHeight="1" x14ac:dyDescent="0.2">
      <c r="A345" s="99"/>
      <c r="B345" s="99"/>
      <c r="C345" s="59" t="s">
        <v>13</v>
      </c>
      <c r="D345" s="1">
        <f t="shared" si="134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7"/>
      <c r="Q345" s="77"/>
      <c r="R345" s="77"/>
      <c r="S345" s="77"/>
      <c r="T345" s="77"/>
      <c r="U345" s="77"/>
      <c r="V345" s="77"/>
    </row>
    <row r="346" spans="1:22" s="8" customFormat="1" ht="18.75" customHeight="1" x14ac:dyDescent="0.2">
      <c r="A346" s="97" t="s">
        <v>382</v>
      </c>
      <c r="B346" s="97" t="s">
        <v>410</v>
      </c>
      <c r="C346" s="51" t="s">
        <v>7</v>
      </c>
      <c r="D346" s="1">
        <f>SUM(D347:D350)</f>
        <v>520608</v>
      </c>
      <c r="E346" s="1">
        <f t="shared" ref="E346:J346" si="135">SUM(E347:E350)</f>
        <v>0</v>
      </c>
      <c r="F346" s="1">
        <f t="shared" si="135"/>
        <v>0</v>
      </c>
      <c r="G346" s="1">
        <f t="shared" si="135"/>
        <v>0</v>
      </c>
      <c r="H346" s="1">
        <f t="shared" si="135"/>
        <v>0</v>
      </c>
      <c r="I346" s="1">
        <f t="shared" si="135"/>
        <v>0</v>
      </c>
      <c r="J346" s="1">
        <f t="shared" si="135"/>
        <v>0</v>
      </c>
      <c r="K346" s="1">
        <f>SUM(K347:K350)</f>
        <v>0</v>
      </c>
      <c r="L346" s="1">
        <f t="shared" ref="L346:N346" si="136">SUM(L347:L350)</f>
        <v>152212.40000000002</v>
      </c>
      <c r="M346" s="1">
        <f>SUM(M347:M350)</f>
        <v>114473.5</v>
      </c>
      <c r="N346" s="1">
        <f t="shared" si="136"/>
        <v>124117.20000000001</v>
      </c>
      <c r="O346" s="1">
        <f t="shared" ref="O346" si="137">SUM(O347:O350)</f>
        <v>129804.90000000001</v>
      </c>
      <c r="P346" s="77"/>
      <c r="Q346" s="77"/>
      <c r="R346" s="77"/>
      <c r="S346" s="77"/>
      <c r="T346" s="77"/>
      <c r="U346" s="77"/>
      <c r="V346" s="77"/>
    </row>
    <row r="347" spans="1:22" s="8" customFormat="1" ht="18.75" customHeight="1" x14ac:dyDescent="0.2">
      <c r="A347" s="98"/>
      <c r="B347" s="98"/>
      <c r="C347" s="59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7"/>
      <c r="Q347" s="77"/>
      <c r="R347" s="77"/>
      <c r="S347" s="77"/>
      <c r="T347" s="77"/>
      <c r="U347" s="77"/>
      <c r="V347" s="77"/>
    </row>
    <row r="348" spans="1:22" s="8" customFormat="1" ht="18.75" customHeight="1" x14ac:dyDescent="0.2">
      <c r="A348" s="98"/>
      <c r="B348" s="98"/>
      <c r="C348" s="59" t="s">
        <v>11</v>
      </c>
      <c r="D348" s="1">
        <f t="shared" ref="D348:D350" si="138">SUM(E348:O348)</f>
        <v>489371.6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f>147166.6-4086.9</f>
        <v>143079.70000000001</v>
      </c>
      <c r="M348" s="1">
        <f>108572.1-34465.5+33498.5</f>
        <v>107605.1</v>
      </c>
      <c r="N348" s="1">
        <f>114543.6-4523.5+6650.1</f>
        <v>116670.20000000001</v>
      </c>
      <c r="O348" s="1">
        <f>114543.6+7473</f>
        <v>122016.6</v>
      </c>
      <c r="P348" s="77"/>
      <c r="Q348" s="77"/>
      <c r="R348" s="77"/>
      <c r="S348" s="77"/>
      <c r="T348" s="77"/>
      <c r="U348" s="77"/>
      <c r="V348" s="77"/>
    </row>
    <row r="349" spans="1:22" s="8" customFormat="1" ht="18.75" customHeight="1" x14ac:dyDescent="0.2">
      <c r="A349" s="98"/>
      <c r="B349" s="98"/>
      <c r="C349" s="59" t="s">
        <v>12</v>
      </c>
      <c r="D349" s="1">
        <f t="shared" si="138"/>
        <v>31236.399999999998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f>9393.6-260.9</f>
        <v>9132.7000000000007</v>
      </c>
      <c r="M349" s="1">
        <f>6656.4-1926.2-108+2246.2</f>
        <v>6868.4</v>
      </c>
      <c r="N349" s="1">
        <f>7311.3-288.7+424.4</f>
        <v>7447</v>
      </c>
      <c r="O349" s="1">
        <f>7311.3+477</f>
        <v>7788.3</v>
      </c>
      <c r="P349" s="77"/>
      <c r="Q349" s="77"/>
      <c r="R349" s="77"/>
      <c r="S349" s="77"/>
      <c r="T349" s="77"/>
      <c r="U349" s="77"/>
      <c r="V349" s="77"/>
    </row>
    <row r="350" spans="1:22" s="8" customFormat="1" ht="33.75" customHeight="1" x14ac:dyDescent="0.2">
      <c r="A350" s="99"/>
      <c r="B350" s="99"/>
      <c r="C350" s="59" t="s">
        <v>13</v>
      </c>
      <c r="D350" s="1">
        <f t="shared" si="138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7"/>
      <c r="Q350" s="77"/>
      <c r="R350" s="77"/>
      <c r="S350" s="77"/>
      <c r="T350" s="77"/>
      <c r="U350" s="77"/>
      <c r="V350" s="77"/>
    </row>
    <row r="351" spans="1:22" s="8" customFormat="1" ht="18.75" customHeight="1" x14ac:dyDescent="0.2">
      <c r="A351" s="97" t="s">
        <v>409</v>
      </c>
      <c r="B351" s="97" t="s">
        <v>412</v>
      </c>
      <c r="C351" s="51" t="s">
        <v>7</v>
      </c>
      <c r="D351" s="1">
        <f>SUM(D352:D355)</f>
        <v>2577072.7000000002</v>
      </c>
      <c r="E351" s="1">
        <f t="shared" ref="E351:J351" si="139">SUM(E352:E355)</f>
        <v>0</v>
      </c>
      <c r="F351" s="1">
        <f t="shared" si="139"/>
        <v>0</v>
      </c>
      <c r="G351" s="1">
        <f t="shared" si="139"/>
        <v>0</v>
      </c>
      <c r="H351" s="1">
        <f t="shared" si="139"/>
        <v>0</v>
      </c>
      <c r="I351" s="1">
        <f t="shared" si="139"/>
        <v>0</v>
      </c>
      <c r="J351" s="1">
        <f t="shared" si="139"/>
        <v>0</v>
      </c>
      <c r="K351" s="1">
        <f>SUM(K352:K355)</f>
        <v>0</v>
      </c>
      <c r="L351" s="1">
        <f t="shared" ref="L351:O351" si="140">SUM(L352:L355)</f>
        <v>808080.8</v>
      </c>
      <c r="M351" s="1">
        <f t="shared" si="140"/>
        <v>1768991.9</v>
      </c>
      <c r="N351" s="1">
        <f t="shared" si="140"/>
        <v>0</v>
      </c>
      <c r="O351" s="1">
        <f t="shared" si="140"/>
        <v>0</v>
      </c>
      <c r="P351" s="77"/>
      <c r="Q351" s="77"/>
      <c r="R351" s="77"/>
      <c r="S351" s="77"/>
      <c r="T351" s="77"/>
      <c r="U351" s="77"/>
      <c r="V351" s="77"/>
    </row>
    <row r="352" spans="1:22" s="8" customFormat="1" ht="18.75" customHeight="1" x14ac:dyDescent="0.2">
      <c r="A352" s="98"/>
      <c r="B352" s="98"/>
      <c r="C352" s="59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7"/>
      <c r="Q352" s="77"/>
      <c r="R352" s="77"/>
      <c r="S352" s="77"/>
      <c r="T352" s="77"/>
      <c r="U352" s="77"/>
      <c r="V352" s="77"/>
    </row>
    <row r="353" spans="1:22" s="8" customFormat="1" ht="18.75" customHeight="1" x14ac:dyDescent="0.2">
      <c r="A353" s="98"/>
      <c r="B353" s="98"/>
      <c r="C353" s="59" t="s">
        <v>11</v>
      </c>
      <c r="D353" s="1">
        <f t="shared" ref="D353:D355" si="141">SUM(E353:O353)</f>
        <v>2551302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800000</v>
      </c>
      <c r="M353" s="1">
        <v>1751302</v>
      </c>
      <c r="N353" s="1">
        <v>0</v>
      </c>
      <c r="O353" s="1">
        <v>0</v>
      </c>
      <c r="P353" s="77"/>
      <c r="Q353" s="77"/>
      <c r="R353" s="77"/>
      <c r="S353" s="77"/>
      <c r="T353" s="77"/>
      <c r="U353" s="77"/>
      <c r="V353" s="77"/>
    </row>
    <row r="354" spans="1:22" s="8" customFormat="1" ht="18.75" customHeight="1" x14ac:dyDescent="0.2">
      <c r="A354" s="98"/>
      <c r="B354" s="98"/>
      <c r="C354" s="59" t="s">
        <v>12</v>
      </c>
      <c r="D354" s="1">
        <f t="shared" si="141"/>
        <v>25770.7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8080.8</v>
      </c>
      <c r="M354" s="1">
        <v>17689.900000000001</v>
      </c>
      <c r="N354" s="1">
        <v>0</v>
      </c>
      <c r="O354" s="1">
        <v>0</v>
      </c>
      <c r="P354" s="77"/>
      <c r="Q354" s="77"/>
      <c r="R354" s="77"/>
      <c r="S354" s="77"/>
      <c r="T354" s="77"/>
      <c r="U354" s="77"/>
      <c r="V354" s="77"/>
    </row>
    <row r="355" spans="1:22" s="8" customFormat="1" ht="37.5" customHeight="1" x14ac:dyDescent="0.2">
      <c r="A355" s="99"/>
      <c r="B355" s="99"/>
      <c r="C355" s="59" t="s">
        <v>13</v>
      </c>
      <c r="D355" s="1">
        <f t="shared" si="141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7"/>
      <c r="Q355" s="77"/>
      <c r="R355" s="77"/>
      <c r="S355" s="77"/>
      <c r="T355" s="77"/>
      <c r="U355" s="77"/>
      <c r="V355" s="77"/>
    </row>
    <row r="356" spans="1:22" s="8" customFormat="1" ht="18.75" customHeight="1" x14ac:dyDescent="0.2">
      <c r="A356" s="127" t="s">
        <v>438</v>
      </c>
      <c r="B356" s="97" t="s">
        <v>439</v>
      </c>
      <c r="C356" s="51" t="s">
        <v>7</v>
      </c>
      <c r="D356" s="1">
        <f>SUM(D357:D360)</f>
        <v>2577072.7000000002</v>
      </c>
      <c r="E356" s="1">
        <f t="shared" ref="E356:J356" si="142">SUM(E357:E360)</f>
        <v>0</v>
      </c>
      <c r="F356" s="1">
        <f t="shared" si="142"/>
        <v>0</v>
      </c>
      <c r="G356" s="1">
        <f t="shared" si="142"/>
        <v>0</v>
      </c>
      <c r="H356" s="1">
        <f t="shared" si="142"/>
        <v>0</v>
      </c>
      <c r="I356" s="1">
        <f t="shared" si="142"/>
        <v>0</v>
      </c>
      <c r="J356" s="1">
        <f t="shared" si="142"/>
        <v>0</v>
      </c>
      <c r="K356" s="1">
        <f>SUM(K357:K360)</f>
        <v>0</v>
      </c>
      <c r="L356" s="1">
        <f t="shared" ref="L356:O356" si="143">SUM(L357:L360)</f>
        <v>808080.8</v>
      </c>
      <c r="M356" s="1">
        <f t="shared" si="143"/>
        <v>1768991.9</v>
      </c>
      <c r="N356" s="1">
        <f t="shared" si="143"/>
        <v>0</v>
      </c>
      <c r="O356" s="1">
        <f t="shared" si="143"/>
        <v>0</v>
      </c>
      <c r="P356" s="77"/>
      <c r="Q356" s="77"/>
      <c r="R356" s="77"/>
      <c r="S356" s="77"/>
      <c r="T356" s="77"/>
      <c r="U356" s="77"/>
      <c r="V356" s="77"/>
    </row>
    <row r="357" spans="1:22" s="8" customFormat="1" ht="18.75" customHeight="1" x14ac:dyDescent="0.2">
      <c r="A357" s="128"/>
      <c r="B357" s="98"/>
      <c r="C357" s="59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7"/>
      <c r="Q357" s="77"/>
      <c r="R357" s="77"/>
      <c r="S357" s="77"/>
      <c r="T357" s="77"/>
      <c r="U357" s="77"/>
      <c r="V357" s="77"/>
    </row>
    <row r="358" spans="1:22" s="8" customFormat="1" ht="18.75" customHeight="1" x14ac:dyDescent="0.2">
      <c r="A358" s="128"/>
      <c r="B358" s="98"/>
      <c r="C358" s="59" t="s">
        <v>11</v>
      </c>
      <c r="D358" s="1">
        <f t="shared" ref="D358:D360" si="144">SUM(E358:O358)</f>
        <v>2551302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800000</v>
      </c>
      <c r="M358" s="1">
        <v>1751302</v>
      </c>
      <c r="N358" s="1">
        <v>0</v>
      </c>
      <c r="O358" s="1">
        <v>0</v>
      </c>
      <c r="P358" s="77"/>
      <c r="Q358" s="77"/>
      <c r="R358" s="77"/>
      <c r="S358" s="77"/>
      <c r="T358" s="77"/>
      <c r="U358" s="77"/>
      <c r="V358" s="77"/>
    </row>
    <row r="359" spans="1:22" s="8" customFormat="1" ht="18.75" customHeight="1" x14ac:dyDescent="0.2">
      <c r="A359" s="128"/>
      <c r="B359" s="98"/>
      <c r="C359" s="59" t="s">
        <v>12</v>
      </c>
      <c r="D359" s="1">
        <f t="shared" si="144"/>
        <v>25770.7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8080.8</v>
      </c>
      <c r="M359" s="1">
        <v>17689.900000000001</v>
      </c>
      <c r="N359" s="1">
        <v>0</v>
      </c>
      <c r="O359" s="1">
        <v>0</v>
      </c>
      <c r="P359" s="77"/>
      <c r="Q359" s="77"/>
      <c r="R359" s="77"/>
      <c r="S359" s="77"/>
      <c r="T359" s="77"/>
      <c r="U359" s="77"/>
      <c r="V359" s="77"/>
    </row>
    <row r="360" spans="1:22" s="8" customFormat="1" ht="33.75" customHeight="1" x14ac:dyDescent="0.2">
      <c r="A360" s="129"/>
      <c r="B360" s="99"/>
      <c r="C360" s="59" t="s">
        <v>13</v>
      </c>
      <c r="D360" s="1">
        <f t="shared" si="144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7"/>
      <c r="Q360" s="77"/>
      <c r="R360" s="77"/>
      <c r="S360" s="77"/>
      <c r="T360" s="77"/>
      <c r="U360" s="77"/>
      <c r="V360" s="77"/>
    </row>
    <row r="361" spans="1:22" s="8" customFormat="1" ht="18.75" customHeight="1" x14ac:dyDescent="0.2">
      <c r="A361" s="97" t="s">
        <v>411</v>
      </c>
      <c r="B361" s="97" t="s">
        <v>423</v>
      </c>
      <c r="C361" s="51" t="s">
        <v>7</v>
      </c>
      <c r="D361" s="1">
        <f>SUM(D362:D365)</f>
        <v>310.29999999999995</v>
      </c>
      <c r="E361" s="1">
        <f t="shared" ref="E361:J361" si="145">SUM(E362:E365)</f>
        <v>0</v>
      </c>
      <c r="F361" s="1">
        <f t="shared" si="145"/>
        <v>0</v>
      </c>
      <c r="G361" s="1">
        <f t="shared" si="145"/>
        <v>0</v>
      </c>
      <c r="H361" s="1">
        <f t="shared" si="145"/>
        <v>0</v>
      </c>
      <c r="I361" s="1">
        <f t="shared" si="145"/>
        <v>0</v>
      </c>
      <c r="J361" s="1">
        <f t="shared" si="145"/>
        <v>0</v>
      </c>
      <c r="K361" s="1">
        <f>SUM(K362:K365)</f>
        <v>0</v>
      </c>
      <c r="L361" s="1">
        <f t="shared" ref="L361:O361" si="146">SUM(L362:L365)</f>
        <v>258.29999999999995</v>
      </c>
      <c r="M361" s="1">
        <f t="shared" si="146"/>
        <v>52</v>
      </c>
      <c r="N361" s="1">
        <f t="shared" si="146"/>
        <v>0</v>
      </c>
      <c r="O361" s="1">
        <f t="shared" si="146"/>
        <v>0</v>
      </c>
      <c r="P361" s="77"/>
      <c r="Q361" s="77"/>
      <c r="R361" s="77"/>
      <c r="S361" s="77"/>
      <c r="T361" s="77"/>
      <c r="U361" s="77"/>
      <c r="V361" s="77"/>
    </row>
    <row r="362" spans="1:22" s="8" customFormat="1" ht="18.75" customHeight="1" x14ac:dyDescent="0.2">
      <c r="A362" s="98"/>
      <c r="B362" s="98"/>
      <c r="C362" s="59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7"/>
      <c r="Q362" s="77"/>
      <c r="R362" s="77"/>
      <c r="S362" s="77"/>
      <c r="T362" s="77"/>
      <c r="U362" s="77"/>
      <c r="V362" s="77"/>
    </row>
    <row r="363" spans="1:22" s="8" customFormat="1" ht="18.75" customHeight="1" x14ac:dyDescent="0.2">
      <c r="A363" s="98"/>
      <c r="B363" s="98"/>
      <c r="C363" s="59" t="s">
        <v>11</v>
      </c>
      <c r="D363" s="1">
        <f t="shared" ref="D363:D365" si="147">SUM(E363:O363)</f>
        <v>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77"/>
      <c r="Q363" s="77"/>
      <c r="R363" s="77"/>
      <c r="S363" s="77"/>
      <c r="T363" s="77"/>
      <c r="U363" s="77"/>
      <c r="V363" s="77"/>
    </row>
    <row r="364" spans="1:22" s="8" customFormat="1" ht="18.75" customHeight="1" x14ac:dyDescent="0.2">
      <c r="A364" s="98"/>
      <c r="B364" s="98"/>
      <c r="C364" s="59" t="s">
        <v>12</v>
      </c>
      <c r="D364" s="1">
        <f t="shared" si="147"/>
        <v>310.29999999999995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f>2.5+198.3+1493.4-1493.4+57.4+0.1</f>
        <v>258.29999999999995</v>
      </c>
      <c r="M364" s="57">
        <f>52</f>
        <v>52</v>
      </c>
      <c r="N364" s="1">
        <v>0</v>
      </c>
      <c r="O364" s="1">
        <v>0</v>
      </c>
      <c r="P364" s="77"/>
      <c r="Q364" s="77"/>
      <c r="R364" s="77"/>
      <c r="S364" s="77"/>
      <c r="T364" s="77"/>
      <c r="U364" s="77"/>
      <c r="V364" s="77"/>
    </row>
    <row r="365" spans="1:22" s="8" customFormat="1" ht="39" customHeight="1" x14ac:dyDescent="0.2">
      <c r="A365" s="99"/>
      <c r="B365" s="99"/>
      <c r="C365" s="59" t="s">
        <v>13</v>
      </c>
      <c r="D365" s="1">
        <f t="shared" si="147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77"/>
      <c r="Q365" s="77"/>
      <c r="R365" s="77"/>
      <c r="S365" s="77"/>
      <c r="T365" s="77"/>
      <c r="U365" s="77"/>
      <c r="V365" s="77"/>
    </row>
    <row r="366" spans="1:22" s="8" customFormat="1" ht="18.75" customHeight="1" x14ac:dyDescent="0.2">
      <c r="A366" s="97" t="s">
        <v>428</v>
      </c>
      <c r="B366" s="97" t="s">
        <v>431</v>
      </c>
      <c r="C366" s="51" t="s">
        <v>7</v>
      </c>
      <c r="D366" s="1">
        <f>SUM(D367:D370)</f>
        <v>4394382.7</v>
      </c>
      <c r="E366" s="1">
        <f t="shared" ref="E366:J366" si="148">SUM(E367:E370)</f>
        <v>0</v>
      </c>
      <c r="F366" s="1">
        <f t="shared" si="148"/>
        <v>0</v>
      </c>
      <c r="G366" s="1">
        <f t="shared" si="148"/>
        <v>0</v>
      </c>
      <c r="H366" s="1">
        <f t="shared" si="148"/>
        <v>0</v>
      </c>
      <c r="I366" s="1">
        <f t="shared" si="148"/>
        <v>0</v>
      </c>
      <c r="J366" s="1">
        <f t="shared" si="148"/>
        <v>0</v>
      </c>
      <c r="K366" s="1">
        <f>SUM(K367:K370)</f>
        <v>0</v>
      </c>
      <c r="L366" s="1">
        <f t="shared" ref="L366:O366" si="149">SUM(L367:L370)</f>
        <v>1044585.9</v>
      </c>
      <c r="M366" s="1">
        <f t="shared" si="149"/>
        <v>804898.4</v>
      </c>
      <c r="N366" s="1">
        <f t="shared" si="149"/>
        <v>2544898.4</v>
      </c>
      <c r="O366" s="1">
        <f t="shared" si="149"/>
        <v>0</v>
      </c>
      <c r="P366" s="77"/>
      <c r="Q366" s="77"/>
      <c r="R366" s="77"/>
      <c r="S366" s="77"/>
      <c r="T366" s="77"/>
      <c r="U366" s="77"/>
      <c r="V366" s="77"/>
    </row>
    <row r="367" spans="1:22" s="8" customFormat="1" ht="18.75" customHeight="1" x14ac:dyDescent="0.2">
      <c r="A367" s="98"/>
      <c r="B367" s="98"/>
      <c r="C367" s="59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f>L372+L377</f>
        <v>0</v>
      </c>
      <c r="M367" s="1">
        <f t="shared" ref="M367:O367" si="150">M372+M377</f>
        <v>0</v>
      </c>
      <c r="N367" s="1">
        <f t="shared" si="150"/>
        <v>0</v>
      </c>
      <c r="O367" s="1">
        <f t="shared" si="150"/>
        <v>0</v>
      </c>
      <c r="P367" s="77"/>
      <c r="Q367" s="77"/>
      <c r="R367" s="77"/>
      <c r="S367" s="77"/>
      <c r="T367" s="77"/>
      <c r="U367" s="77"/>
      <c r="V367" s="77"/>
    </row>
    <row r="368" spans="1:22" s="8" customFormat="1" ht="18.75" customHeight="1" x14ac:dyDescent="0.2">
      <c r="A368" s="98"/>
      <c r="B368" s="98"/>
      <c r="C368" s="59" t="s">
        <v>11</v>
      </c>
      <c r="D368" s="1">
        <f t="shared" ref="D368:D370" si="151">SUM(E368:O368)</f>
        <v>4350438.8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f>L373+L378</f>
        <v>1034140</v>
      </c>
      <c r="M368" s="1">
        <f t="shared" ref="M368:O368" si="152">M373+M378</f>
        <v>796849.4</v>
      </c>
      <c r="N368" s="1">
        <f t="shared" si="152"/>
        <v>2519449.4</v>
      </c>
      <c r="O368" s="1">
        <f t="shared" si="152"/>
        <v>0</v>
      </c>
      <c r="P368" s="77"/>
      <c r="Q368" s="77"/>
      <c r="R368" s="77"/>
      <c r="S368" s="77"/>
      <c r="T368" s="77"/>
      <c r="U368" s="77"/>
      <c r="V368" s="77"/>
    </row>
    <row r="369" spans="1:22" s="8" customFormat="1" ht="18.75" customHeight="1" x14ac:dyDescent="0.2">
      <c r="A369" s="98"/>
      <c r="B369" s="98"/>
      <c r="C369" s="59" t="s">
        <v>12</v>
      </c>
      <c r="D369" s="1">
        <f t="shared" si="151"/>
        <v>43943.9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f>L379+L374</f>
        <v>10445.9</v>
      </c>
      <c r="M369" s="1">
        <f t="shared" ref="M369:V369" si="153">M379+M374</f>
        <v>8049</v>
      </c>
      <c r="N369" s="1">
        <f t="shared" si="153"/>
        <v>25449</v>
      </c>
      <c r="O369" s="1">
        <f t="shared" si="153"/>
        <v>0</v>
      </c>
      <c r="P369" s="1">
        <f t="shared" si="153"/>
        <v>0</v>
      </c>
      <c r="Q369" s="1">
        <f t="shared" si="153"/>
        <v>0</v>
      </c>
      <c r="R369" s="1">
        <f t="shared" si="153"/>
        <v>0</v>
      </c>
      <c r="S369" s="1">
        <f t="shared" si="153"/>
        <v>0</v>
      </c>
      <c r="T369" s="1">
        <f t="shared" si="153"/>
        <v>0</v>
      </c>
      <c r="U369" s="1">
        <f t="shared" si="153"/>
        <v>0</v>
      </c>
      <c r="V369" s="1">
        <f t="shared" si="153"/>
        <v>0</v>
      </c>
    </row>
    <row r="370" spans="1:22" s="8" customFormat="1" ht="38.25" customHeight="1" x14ac:dyDescent="0.2">
      <c r="A370" s="99"/>
      <c r="B370" s="99"/>
      <c r="C370" s="59" t="s">
        <v>13</v>
      </c>
      <c r="D370" s="1">
        <f t="shared" si="151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f>L375+L380</f>
        <v>0</v>
      </c>
      <c r="M370" s="1">
        <f t="shared" ref="M370:O370" si="154">M375+M380</f>
        <v>0</v>
      </c>
      <c r="N370" s="1">
        <f t="shared" si="154"/>
        <v>0</v>
      </c>
      <c r="O370" s="1">
        <f t="shared" si="154"/>
        <v>0</v>
      </c>
      <c r="P370" s="77"/>
      <c r="Q370" s="77"/>
      <c r="R370" s="77"/>
      <c r="S370" s="77"/>
      <c r="T370" s="77"/>
      <c r="U370" s="77"/>
      <c r="V370" s="77"/>
    </row>
    <row r="371" spans="1:22" s="8" customFormat="1" ht="18.75" customHeight="1" x14ac:dyDescent="0.2">
      <c r="A371" s="97" t="s">
        <v>429</v>
      </c>
      <c r="B371" s="97" t="s">
        <v>414</v>
      </c>
      <c r="C371" s="51" t="s">
        <v>7</v>
      </c>
      <c r="D371" s="1">
        <f>SUM(D372:D375)</f>
        <v>3140000</v>
      </c>
      <c r="E371" s="1">
        <f t="shared" ref="E371:J371" si="155">SUM(E372:E375)</f>
        <v>0</v>
      </c>
      <c r="F371" s="1">
        <f t="shared" si="155"/>
        <v>0</v>
      </c>
      <c r="G371" s="1">
        <f t="shared" si="155"/>
        <v>0</v>
      </c>
      <c r="H371" s="1">
        <f t="shared" si="155"/>
        <v>0</v>
      </c>
      <c r="I371" s="1">
        <f t="shared" si="155"/>
        <v>0</v>
      </c>
      <c r="J371" s="1">
        <f t="shared" si="155"/>
        <v>0</v>
      </c>
      <c r="K371" s="1">
        <f>SUM(K372:K375)</f>
        <v>0</v>
      </c>
      <c r="L371" s="1">
        <f t="shared" ref="L371:O371" si="156">SUM(L372:L375)</f>
        <v>1000000</v>
      </c>
      <c r="M371" s="1">
        <f t="shared" si="156"/>
        <v>200000</v>
      </c>
      <c r="N371" s="1">
        <f t="shared" si="156"/>
        <v>1940000</v>
      </c>
      <c r="O371" s="1">
        <f t="shared" si="156"/>
        <v>0</v>
      </c>
      <c r="P371" s="77"/>
      <c r="Q371" s="77"/>
      <c r="R371" s="77"/>
      <c r="S371" s="77"/>
      <c r="T371" s="77"/>
      <c r="U371" s="77"/>
      <c r="V371" s="77"/>
    </row>
    <row r="372" spans="1:22" s="8" customFormat="1" ht="18.75" customHeight="1" x14ac:dyDescent="0.2">
      <c r="A372" s="98"/>
      <c r="B372" s="98"/>
      <c r="C372" s="59" t="s">
        <v>10</v>
      </c>
      <c r="D372" s="1">
        <f>SUM(E372:O372)</f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77"/>
      <c r="Q372" s="77"/>
      <c r="R372" s="77"/>
      <c r="S372" s="77"/>
      <c r="T372" s="77"/>
      <c r="U372" s="77"/>
      <c r="V372" s="77"/>
    </row>
    <row r="373" spans="1:22" s="8" customFormat="1" ht="18.75" customHeight="1" x14ac:dyDescent="0.2">
      <c r="A373" s="98"/>
      <c r="B373" s="98"/>
      <c r="C373" s="59" t="s">
        <v>11</v>
      </c>
      <c r="D373" s="1">
        <f t="shared" ref="D373:D375" si="157">SUM(E373:O373)</f>
        <v>3108600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990000</v>
      </c>
      <c r="M373" s="1">
        <v>198000</v>
      </c>
      <c r="N373" s="1">
        <v>1920600</v>
      </c>
      <c r="O373" s="1">
        <v>0</v>
      </c>
      <c r="P373" s="77"/>
      <c r="Q373" s="77"/>
      <c r="R373" s="77"/>
      <c r="S373" s="77"/>
      <c r="T373" s="77"/>
      <c r="U373" s="77"/>
      <c r="V373" s="77"/>
    </row>
    <row r="374" spans="1:22" s="8" customFormat="1" ht="18.75" customHeight="1" x14ac:dyDescent="0.2">
      <c r="A374" s="98"/>
      <c r="B374" s="98"/>
      <c r="C374" s="59" t="s">
        <v>12</v>
      </c>
      <c r="D374" s="1">
        <f t="shared" si="157"/>
        <v>31400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10000</v>
      </c>
      <c r="M374" s="1">
        <v>2000</v>
      </c>
      <c r="N374" s="1">
        <v>19400</v>
      </c>
      <c r="O374" s="1">
        <v>0</v>
      </c>
      <c r="P374" s="77"/>
      <c r="Q374" s="77"/>
      <c r="R374" s="77"/>
      <c r="S374" s="77"/>
      <c r="T374" s="77"/>
      <c r="U374" s="77"/>
      <c r="V374" s="77"/>
    </row>
    <row r="375" spans="1:22" s="8" customFormat="1" ht="35.25" customHeight="1" x14ac:dyDescent="0.2">
      <c r="A375" s="99"/>
      <c r="B375" s="99"/>
      <c r="C375" s="59" t="s">
        <v>13</v>
      </c>
      <c r="D375" s="1">
        <f t="shared" si="157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77"/>
      <c r="Q375" s="77"/>
      <c r="R375" s="77"/>
      <c r="S375" s="77"/>
      <c r="T375" s="77"/>
      <c r="U375" s="77"/>
      <c r="V375" s="77"/>
    </row>
    <row r="376" spans="1:22" s="8" customFormat="1" ht="18.75" customHeight="1" x14ac:dyDescent="0.2">
      <c r="A376" s="97" t="s">
        <v>430</v>
      </c>
      <c r="B376" s="97" t="s">
        <v>420</v>
      </c>
      <c r="C376" s="51" t="s">
        <v>7</v>
      </c>
      <c r="D376" s="1">
        <f>SUM(D377:D380)</f>
        <v>1254382.7</v>
      </c>
      <c r="E376" s="1">
        <f t="shared" ref="E376:J376" si="158">SUM(E377:E380)</f>
        <v>0</v>
      </c>
      <c r="F376" s="1">
        <f t="shared" si="158"/>
        <v>0</v>
      </c>
      <c r="G376" s="1">
        <f t="shared" si="158"/>
        <v>0</v>
      </c>
      <c r="H376" s="1">
        <f t="shared" si="158"/>
        <v>0</v>
      </c>
      <c r="I376" s="1">
        <f t="shared" si="158"/>
        <v>0</v>
      </c>
      <c r="J376" s="1">
        <f t="shared" si="158"/>
        <v>0</v>
      </c>
      <c r="K376" s="1">
        <f>SUM(K377:K380)</f>
        <v>0</v>
      </c>
      <c r="L376" s="1">
        <f t="shared" ref="L376:O376" si="159">SUM(L377:L380)</f>
        <v>44585.9</v>
      </c>
      <c r="M376" s="1">
        <f t="shared" si="159"/>
        <v>604898.4</v>
      </c>
      <c r="N376" s="1">
        <f t="shared" si="159"/>
        <v>604898.4</v>
      </c>
      <c r="O376" s="1">
        <f t="shared" si="159"/>
        <v>0</v>
      </c>
      <c r="P376" s="77"/>
      <c r="Q376" s="77"/>
      <c r="R376" s="77"/>
      <c r="S376" s="77"/>
      <c r="T376" s="77"/>
      <c r="U376" s="77"/>
      <c r="V376" s="77"/>
    </row>
    <row r="377" spans="1:22" s="8" customFormat="1" ht="18.75" customHeight="1" x14ac:dyDescent="0.2">
      <c r="A377" s="98"/>
      <c r="B377" s="98"/>
      <c r="C377" s="59" t="s">
        <v>10</v>
      </c>
      <c r="D377" s="1">
        <f>SUM(E377:O377)</f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7"/>
      <c r="Q377" s="77"/>
      <c r="R377" s="77"/>
      <c r="S377" s="77"/>
      <c r="T377" s="77"/>
      <c r="U377" s="77"/>
      <c r="V377" s="77"/>
    </row>
    <row r="378" spans="1:22" s="8" customFormat="1" ht="18.75" customHeight="1" x14ac:dyDescent="0.2">
      <c r="A378" s="98"/>
      <c r="B378" s="98"/>
      <c r="C378" s="59" t="s">
        <v>11</v>
      </c>
      <c r="D378" s="1">
        <f t="shared" ref="D378:D380" si="160">SUM(E378:O378)</f>
        <v>1241838.8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44140</v>
      </c>
      <c r="M378" s="1">
        <v>598849.4</v>
      </c>
      <c r="N378" s="1">
        <v>598849.4</v>
      </c>
      <c r="O378" s="1">
        <v>0</v>
      </c>
      <c r="P378" s="77"/>
      <c r="Q378" s="77"/>
      <c r="R378" s="77"/>
      <c r="S378" s="77"/>
      <c r="T378" s="77"/>
      <c r="U378" s="77"/>
      <c r="V378" s="77"/>
    </row>
    <row r="379" spans="1:22" s="8" customFormat="1" ht="18.75" customHeight="1" x14ac:dyDescent="0.2">
      <c r="A379" s="98"/>
      <c r="B379" s="98"/>
      <c r="C379" s="59" t="s">
        <v>12</v>
      </c>
      <c r="D379" s="1">
        <f t="shared" si="160"/>
        <v>12543.9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f>446-0.1</f>
        <v>445.9</v>
      </c>
      <c r="M379" s="1">
        <v>6049</v>
      </c>
      <c r="N379" s="1">
        <v>6049</v>
      </c>
      <c r="O379" s="1">
        <v>0</v>
      </c>
      <c r="P379" s="77"/>
      <c r="Q379" s="77"/>
      <c r="R379" s="77"/>
      <c r="S379" s="77"/>
      <c r="T379" s="77"/>
      <c r="U379" s="77"/>
      <c r="V379" s="77"/>
    </row>
    <row r="380" spans="1:22" s="8" customFormat="1" ht="18.75" customHeight="1" x14ac:dyDescent="0.2">
      <c r="A380" s="99"/>
      <c r="B380" s="99"/>
      <c r="C380" s="59" t="s">
        <v>13</v>
      </c>
      <c r="D380" s="1">
        <f t="shared" si="160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77"/>
      <c r="Q380" s="77"/>
      <c r="R380" s="77"/>
      <c r="S380" s="77"/>
      <c r="T380" s="77"/>
      <c r="U380" s="77"/>
      <c r="V380" s="77"/>
    </row>
    <row r="381" spans="1:22" s="8" customFormat="1" ht="18.75" customHeight="1" x14ac:dyDescent="0.2">
      <c r="A381" s="97" t="s">
        <v>436</v>
      </c>
      <c r="B381" s="97" t="s">
        <v>437</v>
      </c>
      <c r="C381" s="51" t="s">
        <v>7</v>
      </c>
      <c r="D381" s="1">
        <f>SUM(D382:D385)</f>
        <v>18726.099999999999</v>
      </c>
      <c r="E381" s="1">
        <f t="shared" ref="E381:J381" si="161">SUM(E382:E385)</f>
        <v>0</v>
      </c>
      <c r="F381" s="1">
        <f t="shared" si="161"/>
        <v>0</v>
      </c>
      <c r="G381" s="1">
        <f t="shared" si="161"/>
        <v>0</v>
      </c>
      <c r="H381" s="1">
        <f t="shared" si="161"/>
        <v>0</v>
      </c>
      <c r="I381" s="1">
        <f t="shared" si="161"/>
        <v>0</v>
      </c>
      <c r="J381" s="1">
        <f t="shared" si="161"/>
        <v>0</v>
      </c>
      <c r="K381" s="1">
        <f>SUM(K382:K385)</f>
        <v>0</v>
      </c>
      <c r="L381" s="1">
        <f t="shared" ref="L381" si="162">SUM(L382:L385)</f>
        <v>4347.8</v>
      </c>
      <c r="M381" s="1">
        <f>SUM(M382:M385)</f>
        <v>4561.3999999999996</v>
      </c>
      <c r="N381" s="1">
        <f t="shared" ref="N381" si="163">SUM(N382:N385)</f>
        <v>4812.2</v>
      </c>
      <c r="O381" s="1">
        <f t="shared" ref="O381" si="164">SUM(O382:O385)</f>
        <v>5004.7</v>
      </c>
      <c r="P381" s="77"/>
      <c r="Q381" s="77"/>
      <c r="R381" s="77"/>
      <c r="S381" s="77"/>
      <c r="T381" s="77"/>
      <c r="U381" s="77"/>
      <c r="V381" s="77"/>
    </row>
    <row r="382" spans="1:22" s="8" customFormat="1" ht="18.75" customHeight="1" x14ac:dyDescent="0.2">
      <c r="A382" s="98"/>
      <c r="B382" s="98"/>
      <c r="C382" s="59" t="s">
        <v>10</v>
      </c>
      <c r="D382" s="1">
        <f>SUM(E382:O382)</f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77"/>
      <c r="Q382" s="77"/>
      <c r="R382" s="77"/>
      <c r="S382" s="77"/>
      <c r="T382" s="77"/>
      <c r="U382" s="77"/>
      <c r="V382" s="77"/>
    </row>
    <row r="383" spans="1:22" s="8" customFormat="1" ht="18.75" customHeight="1" x14ac:dyDescent="0.2">
      <c r="A383" s="98"/>
      <c r="B383" s="98"/>
      <c r="C383" s="59" t="s">
        <v>11</v>
      </c>
      <c r="D383" s="1">
        <f t="shared" ref="D383:D385" si="165">SUM(E383:O383)</f>
        <v>17602.5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4086.9</v>
      </c>
      <c r="M383" s="1">
        <v>4287.7</v>
      </c>
      <c r="N383" s="1">
        <v>4523.5</v>
      </c>
      <c r="O383" s="1">
        <v>4704.3999999999996</v>
      </c>
      <c r="P383" s="77"/>
      <c r="Q383" s="77"/>
      <c r="R383" s="77"/>
      <c r="S383" s="77"/>
      <c r="T383" s="77"/>
      <c r="U383" s="77"/>
      <c r="V383" s="77"/>
    </row>
    <row r="384" spans="1:22" s="8" customFormat="1" ht="18.75" customHeight="1" x14ac:dyDescent="0.2">
      <c r="A384" s="98"/>
      <c r="B384" s="98"/>
      <c r="C384" s="59" t="s">
        <v>12</v>
      </c>
      <c r="D384" s="1">
        <f t="shared" si="165"/>
        <v>1123.5999999999999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260.89999999999998</v>
      </c>
      <c r="M384" s="1">
        <v>273.7</v>
      </c>
      <c r="N384" s="1">
        <v>288.7</v>
      </c>
      <c r="O384" s="1">
        <v>300.3</v>
      </c>
      <c r="P384" s="77"/>
      <c r="Q384" s="77"/>
      <c r="R384" s="77"/>
      <c r="S384" s="77"/>
      <c r="T384" s="77"/>
      <c r="U384" s="77"/>
      <c r="V384" s="77"/>
    </row>
    <row r="385" spans="1:22" s="8" customFormat="1" ht="39" customHeight="1" x14ac:dyDescent="0.2">
      <c r="A385" s="99"/>
      <c r="B385" s="99"/>
      <c r="C385" s="59" t="s">
        <v>13</v>
      </c>
      <c r="D385" s="1">
        <f t="shared" si="165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77"/>
      <c r="Q385" s="77"/>
      <c r="R385" s="77"/>
      <c r="S385" s="77"/>
      <c r="T385" s="77"/>
      <c r="U385" s="77"/>
      <c r="V385" s="77"/>
    </row>
    <row r="386" spans="1:22" s="8" customFormat="1" ht="18.75" customHeight="1" x14ac:dyDescent="0.2">
      <c r="A386" s="97" t="s">
        <v>440</v>
      </c>
      <c r="B386" s="97" t="s">
        <v>441</v>
      </c>
      <c r="C386" s="51" t="s">
        <v>7</v>
      </c>
      <c r="D386" s="1">
        <f>SUM(D387:D390)</f>
        <v>117906.80000000002</v>
      </c>
      <c r="E386" s="1">
        <f t="shared" ref="E386:J386" si="166">SUM(E387:E390)</f>
        <v>0</v>
      </c>
      <c r="F386" s="1">
        <f t="shared" si="166"/>
        <v>0</v>
      </c>
      <c r="G386" s="1">
        <f t="shared" si="166"/>
        <v>0</v>
      </c>
      <c r="H386" s="1">
        <f t="shared" si="166"/>
        <v>0</v>
      </c>
      <c r="I386" s="1">
        <f t="shared" si="166"/>
        <v>0</v>
      </c>
      <c r="J386" s="1">
        <f t="shared" si="166"/>
        <v>0</v>
      </c>
      <c r="K386" s="1">
        <f>SUM(K387:K390)</f>
        <v>0</v>
      </c>
      <c r="L386" s="1">
        <f t="shared" ref="L386" si="167">SUM(L387:L390)</f>
        <v>3885.8</v>
      </c>
      <c r="M386" s="1">
        <f>SUM(M387:M390)</f>
        <v>23202.399999999998</v>
      </c>
      <c r="N386" s="1">
        <f t="shared" ref="N386:O386" si="168">SUM(N387:N390)</f>
        <v>47418.400000000001</v>
      </c>
      <c r="O386" s="1">
        <f t="shared" si="168"/>
        <v>43400.200000000004</v>
      </c>
      <c r="P386" s="77"/>
      <c r="Q386" s="77"/>
      <c r="R386" s="77"/>
      <c r="S386" s="77"/>
      <c r="T386" s="77"/>
      <c r="U386" s="77"/>
      <c r="V386" s="77"/>
    </row>
    <row r="387" spans="1:22" s="8" customFormat="1" ht="18.75" customHeight="1" x14ac:dyDescent="0.2">
      <c r="A387" s="98"/>
      <c r="B387" s="98"/>
      <c r="C387" s="59" t="s">
        <v>10</v>
      </c>
      <c r="D387" s="1">
        <f>SUM(E387:O387)</f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77"/>
      <c r="Q387" s="77"/>
      <c r="R387" s="77"/>
      <c r="S387" s="77"/>
      <c r="T387" s="77"/>
      <c r="U387" s="77"/>
      <c r="V387" s="77"/>
    </row>
    <row r="388" spans="1:22" s="8" customFormat="1" ht="18.75" customHeight="1" x14ac:dyDescent="0.2">
      <c r="A388" s="98"/>
      <c r="B388" s="98"/>
      <c r="C388" s="59" t="s">
        <v>11</v>
      </c>
      <c r="D388" s="1">
        <f t="shared" ref="D388:D390" si="169">SUM(E388:O388)</f>
        <v>117906.80000000002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f>4013.3-127.5</f>
        <v>3885.8</v>
      </c>
      <c r="M388" s="1">
        <f>23833.1-630.7</f>
        <v>23202.399999999998</v>
      </c>
      <c r="N388" s="1">
        <f>48714.9-1296.5</f>
        <v>47418.400000000001</v>
      </c>
      <c r="O388" s="1">
        <f>44585.8-1185.6</f>
        <v>43400.200000000004</v>
      </c>
      <c r="P388" s="77"/>
      <c r="Q388" s="77"/>
      <c r="R388" s="77"/>
      <c r="S388" s="77"/>
      <c r="T388" s="77"/>
      <c r="U388" s="77"/>
      <c r="V388" s="77"/>
    </row>
    <row r="389" spans="1:22" s="8" customFormat="1" ht="18.75" customHeight="1" x14ac:dyDescent="0.2">
      <c r="A389" s="98"/>
      <c r="B389" s="98"/>
      <c r="C389" s="59" t="s">
        <v>12</v>
      </c>
      <c r="D389" s="1">
        <f t="shared" si="169"/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f>273.7-273.7</f>
        <v>0</v>
      </c>
      <c r="N389" s="1">
        <f>288.7-288.7</f>
        <v>0</v>
      </c>
      <c r="O389" s="1">
        <v>0</v>
      </c>
      <c r="P389" s="77"/>
      <c r="Q389" s="77"/>
      <c r="R389" s="77"/>
      <c r="S389" s="77"/>
      <c r="T389" s="77"/>
      <c r="U389" s="77"/>
      <c r="V389" s="77"/>
    </row>
    <row r="390" spans="1:22" s="8" customFormat="1" ht="30" customHeight="1" x14ac:dyDescent="0.2">
      <c r="A390" s="99"/>
      <c r="B390" s="99"/>
      <c r="C390" s="59" t="s">
        <v>13</v>
      </c>
      <c r="D390" s="1">
        <f t="shared" si="169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77"/>
      <c r="Q390" s="77"/>
      <c r="R390" s="77"/>
      <c r="S390" s="77"/>
      <c r="T390" s="77"/>
      <c r="U390" s="77"/>
      <c r="V390" s="77"/>
    </row>
    <row r="391" spans="1:22" s="8" customFormat="1" ht="18.75" customHeight="1" x14ac:dyDescent="0.2">
      <c r="A391" s="97" t="s">
        <v>447</v>
      </c>
      <c r="B391" s="97" t="s">
        <v>448</v>
      </c>
      <c r="C391" s="51" t="s">
        <v>7</v>
      </c>
      <c r="D391" s="1">
        <f>SUM(D392:D395)</f>
        <v>2649.5</v>
      </c>
      <c r="E391" s="1">
        <f t="shared" ref="E391:J391" si="170">SUM(E392:E395)</f>
        <v>0</v>
      </c>
      <c r="F391" s="1">
        <f t="shared" si="170"/>
        <v>0</v>
      </c>
      <c r="G391" s="1">
        <f t="shared" si="170"/>
        <v>0</v>
      </c>
      <c r="H391" s="1">
        <f t="shared" si="170"/>
        <v>0</v>
      </c>
      <c r="I391" s="1">
        <f t="shared" si="170"/>
        <v>0</v>
      </c>
      <c r="J391" s="1">
        <f t="shared" si="170"/>
        <v>0</v>
      </c>
      <c r="K391" s="1">
        <f>SUM(K392:K395)</f>
        <v>0</v>
      </c>
      <c r="L391" s="1">
        <f t="shared" ref="L391" si="171">SUM(L392:L395)</f>
        <v>0</v>
      </c>
      <c r="M391" s="1">
        <f>SUM(M392:M395)</f>
        <v>2649.5</v>
      </c>
      <c r="N391" s="1">
        <f t="shared" ref="N391:O391" si="172">SUM(N392:N395)</f>
        <v>0</v>
      </c>
      <c r="O391" s="1">
        <f t="shared" si="172"/>
        <v>0</v>
      </c>
      <c r="P391" s="77"/>
      <c r="Q391" s="77"/>
      <c r="R391" s="77"/>
      <c r="S391" s="77"/>
      <c r="T391" s="77"/>
      <c r="U391" s="77"/>
      <c r="V391" s="77"/>
    </row>
    <row r="392" spans="1:22" s="8" customFormat="1" ht="18.75" customHeight="1" x14ac:dyDescent="0.2">
      <c r="A392" s="98"/>
      <c r="B392" s="98"/>
      <c r="C392" s="59" t="s">
        <v>10</v>
      </c>
      <c r="D392" s="1">
        <f>SUM(E392:O392)</f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77"/>
      <c r="Q392" s="77"/>
      <c r="R392" s="77"/>
      <c r="S392" s="77"/>
      <c r="T392" s="77"/>
      <c r="U392" s="77"/>
      <c r="V392" s="77"/>
    </row>
    <row r="393" spans="1:22" s="8" customFormat="1" ht="18.75" customHeight="1" x14ac:dyDescent="0.2">
      <c r="A393" s="98"/>
      <c r="B393" s="98"/>
      <c r="C393" s="59" t="s">
        <v>11</v>
      </c>
      <c r="D393" s="1">
        <f t="shared" ref="D393:D395" si="173">SUM(E393:O393)</f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77"/>
      <c r="Q393" s="77"/>
      <c r="R393" s="77"/>
      <c r="S393" s="77"/>
      <c r="T393" s="77"/>
      <c r="U393" s="77"/>
      <c r="V393" s="77"/>
    </row>
    <row r="394" spans="1:22" s="8" customFormat="1" ht="18.75" customHeight="1" x14ac:dyDescent="0.2">
      <c r="A394" s="98"/>
      <c r="B394" s="98"/>
      <c r="C394" s="59" t="s">
        <v>12</v>
      </c>
      <c r="D394" s="1">
        <f t="shared" si="173"/>
        <v>2649.5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57">
        <f>3000-118.5-52-180</f>
        <v>2649.5</v>
      </c>
      <c r="N394" s="1">
        <f>288.7-288.7</f>
        <v>0</v>
      </c>
      <c r="O394" s="1">
        <v>0</v>
      </c>
      <c r="P394" s="77"/>
      <c r="Q394" s="77"/>
      <c r="R394" s="77"/>
      <c r="S394" s="77"/>
      <c r="T394" s="77"/>
      <c r="U394" s="77"/>
      <c r="V394" s="77"/>
    </row>
    <row r="395" spans="1:22" s="8" customFormat="1" ht="18.75" customHeight="1" x14ac:dyDescent="0.2">
      <c r="A395" s="99"/>
      <c r="B395" s="99"/>
      <c r="C395" s="59" t="s">
        <v>13</v>
      </c>
      <c r="D395" s="1">
        <f t="shared" si="173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77"/>
      <c r="Q395" s="77"/>
      <c r="R395" s="77"/>
      <c r="S395" s="77"/>
      <c r="T395" s="77"/>
      <c r="U395" s="77"/>
      <c r="V395" s="77"/>
    </row>
    <row r="396" spans="1:22" ht="15.75" x14ac:dyDescent="0.2">
      <c r="A396" s="108" t="s">
        <v>145</v>
      </c>
      <c r="B396" s="103" t="s">
        <v>446</v>
      </c>
      <c r="C396" s="51" t="s">
        <v>7</v>
      </c>
      <c r="D396" s="1">
        <f>D397+D398+D399+D400</f>
        <v>223107</v>
      </c>
      <c r="E396" s="1">
        <f>E397+E398+E399+E400</f>
        <v>24704.6</v>
      </c>
      <c r="F396" s="1">
        <f t="shared" ref="F396:O396" si="174">F397+F398+F399+F400</f>
        <v>23418.400000000001</v>
      </c>
      <c r="G396" s="1">
        <f t="shared" si="174"/>
        <v>28089.699999999997</v>
      </c>
      <c r="H396" s="1">
        <f t="shared" si="174"/>
        <v>23411.7</v>
      </c>
      <c r="I396" s="1">
        <f t="shared" si="174"/>
        <v>24700.5</v>
      </c>
      <c r="J396" s="1">
        <f t="shared" si="174"/>
        <v>23045.699999999997</v>
      </c>
      <c r="K396" s="1">
        <f t="shared" si="174"/>
        <v>23013.5</v>
      </c>
      <c r="L396" s="1">
        <f t="shared" si="174"/>
        <v>17844</v>
      </c>
      <c r="M396" s="1">
        <f t="shared" si="174"/>
        <v>11270</v>
      </c>
      <c r="N396" s="1">
        <f t="shared" si="174"/>
        <v>12043.5</v>
      </c>
      <c r="O396" s="1">
        <f t="shared" si="174"/>
        <v>11565.4</v>
      </c>
    </row>
    <row r="397" spans="1:22" ht="16.5" customHeight="1" x14ac:dyDescent="0.2">
      <c r="A397" s="108"/>
      <c r="B397" s="103"/>
      <c r="C397" s="51" t="s">
        <v>10</v>
      </c>
      <c r="D397" s="1">
        <f t="shared" ref="D397:D447" si="175">E397+F397+G397+H397+I397+J397+K397+L397+M397+N397+O397</f>
        <v>0</v>
      </c>
      <c r="E397" s="1">
        <f>E402+E412+E422</f>
        <v>0</v>
      </c>
      <c r="F397" s="1">
        <f t="shared" ref="F397:O397" si="176">F402+F412+F422</f>
        <v>0</v>
      </c>
      <c r="G397" s="1">
        <f t="shared" si="176"/>
        <v>0</v>
      </c>
      <c r="H397" s="1">
        <f t="shared" si="176"/>
        <v>0</v>
      </c>
      <c r="I397" s="1">
        <f t="shared" si="176"/>
        <v>0</v>
      </c>
      <c r="J397" s="1">
        <f t="shared" si="176"/>
        <v>0</v>
      </c>
      <c r="K397" s="1">
        <f t="shared" si="176"/>
        <v>0</v>
      </c>
      <c r="L397" s="1">
        <f t="shared" si="176"/>
        <v>0</v>
      </c>
      <c r="M397" s="1">
        <f t="shared" si="176"/>
        <v>0</v>
      </c>
      <c r="N397" s="1">
        <f t="shared" si="176"/>
        <v>0</v>
      </c>
      <c r="O397" s="1">
        <f t="shared" si="176"/>
        <v>0</v>
      </c>
      <c r="P397" s="63"/>
      <c r="Q397" s="63"/>
    </row>
    <row r="398" spans="1:22" ht="18" customHeight="1" x14ac:dyDescent="0.2">
      <c r="A398" s="108"/>
      <c r="B398" s="103"/>
      <c r="C398" s="51" t="s">
        <v>11</v>
      </c>
      <c r="D398" s="1">
        <f t="shared" si="175"/>
        <v>23608.400000000001</v>
      </c>
      <c r="E398" s="1">
        <f>E403+E408+E413+E418+E423</f>
        <v>0</v>
      </c>
      <c r="F398" s="1">
        <f t="shared" ref="F398:O398" si="177">F403+F408+F413+F418+F423</f>
        <v>0</v>
      </c>
      <c r="G398" s="1">
        <f t="shared" si="177"/>
        <v>0</v>
      </c>
      <c r="H398" s="1">
        <f t="shared" si="177"/>
        <v>0</v>
      </c>
      <c r="I398" s="1">
        <f t="shared" si="177"/>
        <v>16106.5</v>
      </c>
      <c r="J398" s="1">
        <f>J403+J408+J413+J418+J423</f>
        <v>7501.9</v>
      </c>
      <c r="K398" s="1">
        <f t="shared" si="177"/>
        <v>0</v>
      </c>
      <c r="L398" s="1">
        <f t="shared" si="177"/>
        <v>0</v>
      </c>
      <c r="M398" s="1">
        <f t="shared" si="177"/>
        <v>0</v>
      </c>
      <c r="N398" s="1">
        <f t="shared" si="177"/>
        <v>0</v>
      </c>
      <c r="O398" s="1">
        <f t="shared" si="177"/>
        <v>0</v>
      </c>
    </row>
    <row r="399" spans="1:22" ht="18" customHeight="1" x14ac:dyDescent="0.2">
      <c r="A399" s="108"/>
      <c r="B399" s="103"/>
      <c r="C399" s="51" t="s">
        <v>12</v>
      </c>
      <c r="D399" s="1">
        <f t="shared" si="175"/>
        <v>199498.6</v>
      </c>
      <c r="E399" s="1">
        <f>E404+E414+E424+E429+E409+E419</f>
        <v>24704.6</v>
      </c>
      <c r="F399" s="1">
        <f t="shared" ref="F399:I399" si="178">F404+F414+F424+F429+F409+F419</f>
        <v>23418.400000000001</v>
      </c>
      <c r="G399" s="1">
        <f t="shared" si="178"/>
        <v>28089.699999999997</v>
      </c>
      <c r="H399" s="1">
        <f t="shared" si="178"/>
        <v>23411.7</v>
      </c>
      <c r="I399" s="1">
        <f t="shared" si="178"/>
        <v>8594</v>
      </c>
      <c r="J399" s="1">
        <f>J404+J414+J424+J429+J409+J419</f>
        <v>15543.8</v>
      </c>
      <c r="K399" s="1">
        <f>K404+K414+K424+K429+K409+K419+K434</f>
        <v>23013.5</v>
      </c>
      <c r="L399" s="1">
        <f t="shared" ref="L399" si="179">L404+L414+L424+L429+L409+L419+L434</f>
        <v>17844</v>
      </c>
      <c r="M399" s="1">
        <f>M404+M414+M424+M429+M409+M419+M434+M439</f>
        <v>11270</v>
      </c>
      <c r="N399" s="1">
        <f t="shared" ref="N399:O399" si="180">N404+N414+N424+N429+N409+N419+N434+N439</f>
        <v>12043.5</v>
      </c>
      <c r="O399" s="1">
        <f t="shared" si="180"/>
        <v>11565.4</v>
      </c>
    </row>
    <row r="400" spans="1:22" ht="18" customHeight="1" x14ac:dyDescent="0.2">
      <c r="A400" s="108"/>
      <c r="B400" s="103"/>
      <c r="C400" s="51" t="s">
        <v>13</v>
      </c>
      <c r="D400" s="1">
        <f t="shared" si="175"/>
        <v>0</v>
      </c>
      <c r="E400" s="1">
        <f>E405+E415+E425</f>
        <v>0</v>
      </c>
      <c r="F400" s="1">
        <f t="shared" ref="F400:O400" si="181">F405+F415+F425</f>
        <v>0</v>
      </c>
      <c r="G400" s="1">
        <f t="shared" si="181"/>
        <v>0</v>
      </c>
      <c r="H400" s="1">
        <f t="shared" si="181"/>
        <v>0</v>
      </c>
      <c r="I400" s="1">
        <f t="shared" si="181"/>
        <v>0</v>
      </c>
      <c r="J400" s="1">
        <f t="shared" si="181"/>
        <v>0</v>
      </c>
      <c r="K400" s="1">
        <f t="shared" si="181"/>
        <v>0</v>
      </c>
      <c r="L400" s="1">
        <f t="shared" si="181"/>
        <v>0</v>
      </c>
      <c r="M400" s="1">
        <f t="shared" si="181"/>
        <v>0</v>
      </c>
      <c r="N400" s="1">
        <f t="shared" si="181"/>
        <v>0</v>
      </c>
      <c r="O400" s="1">
        <f t="shared" si="181"/>
        <v>0</v>
      </c>
    </row>
    <row r="401" spans="1:25" ht="15.75" x14ac:dyDescent="0.2">
      <c r="A401" s="108" t="s">
        <v>146</v>
      </c>
      <c r="B401" s="103" t="s">
        <v>52</v>
      </c>
      <c r="C401" s="51" t="s">
        <v>7</v>
      </c>
      <c r="D401" s="1">
        <f t="shared" si="175"/>
        <v>90126.5</v>
      </c>
      <c r="E401" s="1">
        <f t="shared" ref="E401:O401" si="182">E402+E403+E404+E405</f>
        <v>5089.5</v>
      </c>
      <c r="F401" s="1">
        <f t="shared" si="182"/>
        <v>6465</v>
      </c>
      <c r="G401" s="1">
        <f t="shared" si="182"/>
        <v>8661.7999999999993</v>
      </c>
      <c r="H401" s="1">
        <f t="shared" si="182"/>
        <v>9358.2000000000007</v>
      </c>
      <c r="I401" s="1">
        <f t="shared" si="182"/>
        <v>8594</v>
      </c>
      <c r="J401" s="1">
        <f>J402+J403+J404+J405</f>
        <v>7198.9000000000005</v>
      </c>
      <c r="K401" s="1">
        <f t="shared" si="182"/>
        <v>12364.6</v>
      </c>
      <c r="L401" s="1">
        <f t="shared" si="182"/>
        <v>10751.5</v>
      </c>
      <c r="M401" s="1">
        <f t="shared" si="182"/>
        <v>7306.5</v>
      </c>
      <c r="N401" s="1">
        <f t="shared" si="182"/>
        <v>7372.8</v>
      </c>
      <c r="O401" s="1">
        <f t="shared" si="182"/>
        <v>6963.6999999999989</v>
      </c>
    </row>
    <row r="402" spans="1:25" ht="15.75" x14ac:dyDescent="0.2">
      <c r="A402" s="108"/>
      <c r="B402" s="103"/>
      <c r="C402" s="51" t="s">
        <v>10</v>
      </c>
      <c r="D402" s="1">
        <f t="shared" si="175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25" ht="15.75" x14ac:dyDescent="0.2">
      <c r="A403" s="108"/>
      <c r="B403" s="103"/>
      <c r="C403" s="51" t="s">
        <v>11</v>
      </c>
      <c r="D403" s="1">
        <f t="shared" si="175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25" ht="15.75" x14ac:dyDescent="0.2">
      <c r="A404" s="108"/>
      <c r="B404" s="103"/>
      <c r="C404" s="51" t="s">
        <v>12</v>
      </c>
      <c r="D404" s="1">
        <f t="shared" si="175"/>
        <v>90126.5</v>
      </c>
      <c r="E404" s="1">
        <v>5089.5</v>
      </c>
      <c r="F404" s="1">
        <v>6465</v>
      </c>
      <c r="G404" s="1">
        <v>8661.7999999999993</v>
      </c>
      <c r="H404" s="1">
        <v>9358.2000000000007</v>
      </c>
      <c r="I404" s="1">
        <v>8594</v>
      </c>
      <c r="J404" s="1">
        <f>2886.8+1860.3+2451.8</f>
        <v>7198.9000000000005</v>
      </c>
      <c r="K404" s="1">
        <f>8859.6+1000+555+1950</f>
        <v>12364.6</v>
      </c>
      <c r="L404" s="1">
        <f>5576.5+2175+1500+1500</f>
        <v>10751.5</v>
      </c>
      <c r="M404" s="1">
        <f>5913.1+343.4+650+400</f>
        <v>7306.5</v>
      </c>
      <c r="N404" s="1">
        <f>5942+1430.8</f>
        <v>7372.8</v>
      </c>
      <c r="O404" s="1">
        <f>10976.3-3712.3-300.3</f>
        <v>6963.6999999999989</v>
      </c>
      <c r="W404" s="63"/>
      <c r="X404" s="63"/>
      <c r="Y404" s="63"/>
    </row>
    <row r="405" spans="1:25" ht="15.75" x14ac:dyDescent="0.2">
      <c r="A405" s="108"/>
      <c r="B405" s="103"/>
      <c r="C405" s="59" t="s">
        <v>13</v>
      </c>
      <c r="D405" s="1">
        <f t="shared" si="175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25" ht="15.75" x14ac:dyDescent="0.2">
      <c r="A406" s="108" t="s">
        <v>147</v>
      </c>
      <c r="B406" s="103" t="s">
        <v>365</v>
      </c>
      <c r="C406" s="51" t="s">
        <v>7</v>
      </c>
      <c r="D406" s="1">
        <f t="shared" si="175"/>
        <v>11065.3</v>
      </c>
      <c r="E406" s="1">
        <f t="shared" ref="E406:O406" si="183">E407+E408+E409+E410</f>
        <v>0</v>
      </c>
      <c r="F406" s="1">
        <f t="shared" si="183"/>
        <v>0</v>
      </c>
      <c r="G406" s="1">
        <f t="shared" si="183"/>
        <v>0</v>
      </c>
      <c r="H406" s="1">
        <f t="shared" si="183"/>
        <v>0</v>
      </c>
      <c r="I406" s="1">
        <f t="shared" si="183"/>
        <v>7430.4</v>
      </c>
      <c r="J406" s="1">
        <f t="shared" si="183"/>
        <v>3634.8999999999996</v>
      </c>
      <c r="K406" s="1">
        <f t="shared" si="183"/>
        <v>0</v>
      </c>
      <c r="L406" s="1">
        <f t="shared" si="183"/>
        <v>0</v>
      </c>
      <c r="M406" s="1">
        <f t="shared" si="183"/>
        <v>0</v>
      </c>
      <c r="N406" s="1">
        <f t="shared" si="183"/>
        <v>0</v>
      </c>
      <c r="O406" s="1">
        <f t="shared" si="183"/>
        <v>0</v>
      </c>
    </row>
    <row r="407" spans="1:25" ht="21" customHeight="1" x14ac:dyDescent="0.2">
      <c r="A407" s="108"/>
      <c r="B407" s="103"/>
      <c r="C407" s="51" t="s">
        <v>10</v>
      </c>
      <c r="D407" s="1">
        <f t="shared" si="175"/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25" ht="15.75" x14ac:dyDescent="0.2">
      <c r="A408" s="108"/>
      <c r="B408" s="103"/>
      <c r="C408" s="51" t="s">
        <v>11</v>
      </c>
      <c r="D408" s="1">
        <f t="shared" si="175"/>
        <v>11065.3</v>
      </c>
      <c r="E408" s="1">
        <v>0</v>
      </c>
      <c r="F408" s="1">
        <v>0</v>
      </c>
      <c r="G408" s="1">
        <v>0</v>
      </c>
      <c r="H408" s="1">
        <v>0</v>
      </c>
      <c r="I408" s="1">
        <f>6602.5+827.9</f>
        <v>7430.4</v>
      </c>
      <c r="J408" s="1">
        <f>6521.7-2886.8</f>
        <v>3634.8999999999996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25" ht="15.75" x14ac:dyDescent="0.2">
      <c r="A409" s="108"/>
      <c r="B409" s="103"/>
      <c r="C409" s="51" t="s">
        <v>12</v>
      </c>
      <c r="D409" s="1">
        <f t="shared" si="175"/>
        <v>0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</row>
    <row r="410" spans="1:25" ht="21.75" customHeight="1" x14ac:dyDescent="0.2">
      <c r="A410" s="108"/>
      <c r="B410" s="103"/>
      <c r="C410" s="59" t="s">
        <v>13</v>
      </c>
      <c r="D410" s="1">
        <f t="shared" si="175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25" ht="15.75" customHeight="1" x14ac:dyDescent="0.2">
      <c r="A411" s="108" t="s">
        <v>148</v>
      </c>
      <c r="B411" s="103" t="s">
        <v>58</v>
      </c>
      <c r="C411" s="51" t="s">
        <v>7</v>
      </c>
      <c r="D411" s="1">
        <f t="shared" si="175"/>
        <v>104328.4</v>
      </c>
      <c r="E411" s="1">
        <f t="shared" ref="E411:O411" si="184">E412+E413+E415+E414</f>
        <v>17919.099999999999</v>
      </c>
      <c r="F411" s="1">
        <f t="shared" si="184"/>
        <v>16953.400000000001</v>
      </c>
      <c r="G411" s="1">
        <f t="shared" si="184"/>
        <v>16137.9</v>
      </c>
      <c r="H411" s="1">
        <f t="shared" si="184"/>
        <v>14053.5</v>
      </c>
      <c r="I411" s="1">
        <f t="shared" si="184"/>
        <v>0</v>
      </c>
      <c r="J411" s="1">
        <f t="shared" si="184"/>
        <v>8344.9</v>
      </c>
      <c r="K411" s="1">
        <f t="shared" si="184"/>
        <v>10648.9</v>
      </c>
      <c r="L411" s="1">
        <f t="shared" si="184"/>
        <v>7072.5</v>
      </c>
      <c r="M411" s="1">
        <f t="shared" si="184"/>
        <v>3952.2000000000003</v>
      </c>
      <c r="N411" s="1">
        <f t="shared" si="184"/>
        <v>4657.4000000000005</v>
      </c>
      <c r="O411" s="1">
        <f t="shared" si="184"/>
        <v>4588.6000000000004</v>
      </c>
    </row>
    <row r="412" spans="1:25" ht="15.75" customHeight="1" x14ac:dyDescent="0.2">
      <c r="A412" s="108"/>
      <c r="B412" s="103"/>
      <c r="C412" s="51" t="s">
        <v>10</v>
      </c>
      <c r="D412" s="1">
        <f t="shared" si="175"/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</row>
    <row r="413" spans="1:25" ht="15.75" customHeight="1" x14ac:dyDescent="0.2">
      <c r="A413" s="108"/>
      <c r="B413" s="103"/>
      <c r="C413" s="51" t="s">
        <v>11</v>
      </c>
      <c r="D413" s="1">
        <f t="shared" si="175"/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25" ht="15.75" customHeight="1" x14ac:dyDescent="0.2">
      <c r="A414" s="108"/>
      <c r="B414" s="103"/>
      <c r="C414" s="51" t="s">
        <v>12</v>
      </c>
      <c r="D414" s="1">
        <f t="shared" si="175"/>
        <v>104328.4</v>
      </c>
      <c r="E414" s="1">
        <v>17919.099999999999</v>
      </c>
      <c r="F414" s="1">
        <v>16953.400000000001</v>
      </c>
      <c r="G414" s="1">
        <v>16137.9</v>
      </c>
      <c r="H414" s="1">
        <v>14053.5</v>
      </c>
      <c r="I414" s="1">
        <v>0</v>
      </c>
      <c r="J414" s="1">
        <f>0+2600+6251.4-506.5</f>
        <v>8344.9</v>
      </c>
      <c r="K414" s="1">
        <f>13474.9-2900+74</f>
        <v>10648.9</v>
      </c>
      <c r="L414" s="1">
        <f>5037.6+2000-40.6-15+90.5</f>
        <v>7072.5</v>
      </c>
      <c r="M414" s="1">
        <f>5341.7-1097.6-291.9</f>
        <v>3952.2000000000003</v>
      </c>
      <c r="N414" s="1">
        <f>5367.8-710.4</f>
        <v>4657.4000000000005</v>
      </c>
      <c r="O414" s="1">
        <f>13511.2-8922.6</f>
        <v>4588.6000000000004</v>
      </c>
      <c r="X414" s="63"/>
      <c r="Y414" s="63"/>
    </row>
    <row r="415" spans="1:25" ht="22.5" customHeight="1" x14ac:dyDescent="0.2">
      <c r="A415" s="108"/>
      <c r="B415" s="103"/>
      <c r="C415" s="59" t="s">
        <v>13</v>
      </c>
      <c r="D415" s="1">
        <f t="shared" si="175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3">
        <v>0</v>
      </c>
      <c r="K415" s="3">
        <v>0</v>
      </c>
      <c r="L415" s="3">
        <v>0</v>
      </c>
      <c r="M415" s="3">
        <v>0</v>
      </c>
      <c r="N415" s="3">
        <v>0</v>
      </c>
      <c r="O415" s="3">
        <v>0</v>
      </c>
    </row>
    <row r="416" spans="1:25" ht="18.75" customHeight="1" x14ac:dyDescent="0.2">
      <c r="A416" s="108" t="s">
        <v>209</v>
      </c>
      <c r="B416" s="103" t="s">
        <v>264</v>
      </c>
      <c r="C416" s="59" t="s">
        <v>7</v>
      </c>
      <c r="D416" s="1">
        <f t="shared" si="175"/>
        <v>12543.1</v>
      </c>
      <c r="E416" s="1">
        <f t="shared" ref="E416:O416" si="185">E417+E418+E420+E419</f>
        <v>0</v>
      </c>
      <c r="F416" s="1">
        <f t="shared" si="185"/>
        <v>0</v>
      </c>
      <c r="G416" s="1">
        <f t="shared" si="185"/>
        <v>0</v>
      </c>
      <c r="H416" s="1">
        <f t="shared" si="185"/>
        <v>0</v>
      </c>
      <c r="I416" s="1">
        <f t="shared" si="185"/>
        <v>8676.1</v>
      </c>
      <c r="J416" s="1">
        <f t="shared" si="185"/>
        <v>3867</v>
      </c>
      <c r="K416" s="1">
        <f t="shared" si="185"/>
        <v>0</v>
      </c>
      <c r="L416" s="1">
        <f t="shared" si="185"/>
        <v>0</v>
      </c>
      <c r="M416" s="1">
        <f t="shared" si="185"/>
        <v>0</v>
      </c>
      <c r="N416" s="1">
        <f t="shared" si="185"/>
        <v>0</v>
      </c>
      <c r="O416" s="1">
        <f t="shared" si="185"/>
        <v>0</v>
      </c>
    </row>
    <row r="417" spans="1:15" ht="18.75" customHeight="1" x14ac:dyDescent="0.2">
      <c r="A417" s="108"/>
      <c r="B417" s="103"/>
      <c r="C417" s="59" t="s">
        <v>10</v>
      </c>
      <c r="D417" s="1">
        <f t="shared" si="175"/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5" ht="18.75" customHeight="1" x14ac:dyDescent="0.2">
      <c r="A418" s="108"/>
      <c r="B418" s="103"/>
      <c r="C418" s="59" t="s">
        <v>11</v>
      </c>
      <c r="D418" s="1">
        <f t="shared" si="175"/>
        <v>12543.1</v>
      </c>
      <c r="E418" s="1">
        <v>0</v>
      </c>
      <c r="F418" s="1">
        <v>0</v>
      </c>
      <c r="G418" s="1">
        <v>0</v>
      </c>
      <c r="H418" s="1">
        <v>0</v>
      </c>
      <c r="I418" s="1">
        <f>10280.7-1604.6</f>
        <v>8676.1</v>
      </c>
      <c r="J418" s="1">
        <f>10118.4-6251.4</f>
        <v>3867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 ht="18.75" customHeight="1" x14ac:dyDescent="0.2">
      <c r="A419" s="108"/>
      <c r="B419" s="103"/>
      <c r="C419" s="59" t="s">
        <v>12</v>
      </c>
      <c r="D419" s="1">
        <f t="shared" si="175"/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</row>
    <row r="420" spans="1:15" ht="18.75" customHeight="1" x14ac:dyDescent="0.2">
      <c r="A420" s="108"/>
      <c r="B420" s="103"/>
      <c r="C420" s="59" t="s">
        <v>13</v>
      </c>
      <c r="D420" s="1">
        <f t="shared" si="175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3">
        <v>0</v>
      </c>
      <c r="K420" s="3">
        <v>0</v>
      </c>
      <c r="L420" s="1">
        <v>0</v>
      </c>
      <c r="M420" s="1">
        <v>0</v>
      </c>
      <c r="N420" s="1">
        <v>0</v>
      </c>
      <c r="O420" s="1">
        <v>0</v>
      </c>
    </row>
    <row r="421" spans="1:15" ht="15.75" customHeight="1" x14ac:dyDescent="0.2">
      <c r="A421" s="108" t="s">
        <v>269</v>
      </c>
      <c r="B421" s="103" t="s">
        <v>22</v>
      </c>
      <c r="C421" s="51" t="s">
        <v>7</v>
      </c>
      <c r="D421" s="1">
        <f t="shared" si="175"/>
        <v>1696</v>
      </c>
      <c r="E421" s="1">
        <f t="shared" ref="E421:K421" si="186">E422+E423+E424+E425</f>
        <v>1696</v>
      </c>
      <c r="F421" s="1">
        <f t="shared" si="186"/>
        <v>0</v>
      </c>
      <c r="G421" s="1">
        <f t="shared" si="186"/>
        <v>0</v>
      </c>
      <c r="H421" s="1">
        <f t="shared" si="186"/>
        <v>0</v>
      </c>
      <c r="I421" s="1">
        <f t="shared" si="186"/>
        <v>0</v>
      </c>
      <c r="J421" s="1">
        <f t="shared" si="186"/>
        <v>0</v>
      </c>
      <c r="K421" s="1">
        <f t="shared" si="186"/>
        <v>0</v>
      </c>
      <c r="L421" s="1">
        <f>L422+L423+L424+L425</f>
        <v>0</v>
      </c>
      <c r="M421" s="1">
        <f>M422+M423+M424+M425</f>
        <v>0</v>
      </c>
      <c r="N421" s="1">
        <f>N422+N423+N424+N425</f>
        <v>0</v>
      </c>
      <c r="O421" s="1">
        <f>O422+O423+O424+O425</f>
        <v>0</v>
      </c>
    </row>
    <row r="422" spans="1:15" ht="15.75" customHeight="1" x14ac:dyDescent="0.2">
      <c r="A422" s="108"/>
      <c r="B422" s="103"/>
      <c r="C422" s="51" t="s">
        <v>10</v>
      </c>
      <c r="D422" s="1">
        <f t="shared" si="175"/>
        <v>0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15" ht="15.75" customHeight="1" x14ac:dyDescent="0.2">
      <c r="A423" s="108"/>
      <c r="B423" s="103"/>
      <c r="C423" s="51" t="s">
        <v>11</v>
      </c>
      <c r="D423" s="1">
        <f t="shared" si="175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15" ht="15.75" customHeight="1" x14ac:dyDescent="0.2">
      <c r="A424" s="108"/>
      <c r="B424" s="103"/>
      <c r="C424" s="51" t="s">
        <v>12</v>
      </c>
      <c r="D424" s="1">
        <f t="shared" si="175"/>
        <v>1696</v>
      </c>
      <c r="E424" s="1">
        <v>1696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</row>
    <row r="425" spans="1:15" ht="18" customHeight="1" x14ac:dyDescent="0.2">
      <c r="A425" s="108"/>
      <c r="B425" s="103"/>
      <c r="C425" s="59" t="s">
        <v>13</v>
      </c>
      <c r="D425" s="1">
        <f t="shared" si="175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5" ht="15.75" x14ac:dyDescent="0.2">
      <c r="A426" s="108" t="s">
        <v>270</v>
      </c>
      <c r="B426" s="108" t="s">
        <v>237</v>
      </c>
      <c r="C426" s="51" t="s">
        <v>7</v>
      </c>
      <c r="D426" s="1">
        <f t="shared" si="175"/>
        <v>3290</v>
      </c>
      <c r="E426" s="1">
        <f>E427+E428+E429+E430</f>
        <v>0</v>
      </c>
      <c r="F426" s="1">
        <f t="shared" ref="F426:K426" si="187">F427+F428+F429+F430</f>
        <v>0</v>
      </c>
      <c r="G426" s="1">
        <f t="shared" si="187"/>
        <v>3290</v>
      </c>
      <c r="H426" s="1">
        <f t="shared" si="187"/>
        <v>0</v>
      </c>
      <c r="I426" s="1">
        <f t="shared" si="187"/>
        <v>0</v>
      </c>
      <c r="J426" s="1">
        <f t="shared" si="187"/>
        <v>0</v>
      </c>
      <c r="K426" s="1">
        <f t="shared" si="187"/>
        <v>0</v>
      </c>
      <c r="L426" s="1">
        <f>L427+L428+L429+L430</f>
        <v>0</v>
      </c>
      <c r="M426" s="1">
        <f>M427+M428+M429+M430</f>
        <v>0</v>
      </c>
      <c r="N426" s="1">
        <f>N427+N428+N429+N430</f>
        <v>0</v>
      </c>
      <c r="O426" s="1">
        <f>O427+O428+O429+O430</f>
        <v>0</v>
      </c>
    </row>
    <row r="427" spans="1:15" ht="15.75" x14ac:dyDescent="0.2">
      <c r="A427" s="108"/>
      <c r="B427" s="108"/>
      <c r="C427" s="51" t="s">
        <v>10</v>
      </c>
      <c r="D427" s="1">
        <f t="shared" si="175"/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</row>
    <row r="428" spans="1:15" ht="15.75" x14ac:dyDescent="0.2">
      <c r="A428" s="108"/>
      <c r="B428" s="108"/>
      <c r="C428" s="51" t="s">
        <v>11</v>
      </c>
      <c r="D428" s="1">
        <f t="shared" si="175"/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15" ht="15.75" x14ac:dyDescent="0.2">
      <c r="A429" s="108"/>
      <c r="B429" s="108"/>
      <c r="C429" s="51" t="s">
        <v>12</v>
      </c>
      <c r="D429" s="1">
        <f t="shared" si="175"/>
        <v>3290</v>
      </c>
      <c r="E429" s="1">
        <v>0</v>
      </c>
      <c r="F429" s="1">
        <v>0</v>
      </c>
      <c r="G429" s="1">
        <v>3290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</row>
    <row r="430" spans="1:15" ht="23.25" customHeight="1" x14ac:dyDescent="0.2">
      <c r="A430" s="108"/>
      <c r="B430" s="108"/>
      <c r="C430" s="59" t="s">
        <v>13</v>
      </c>
      <c r="D430" s="1">
        <f t="shared" si="175"/>
        <v>0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</row>
    <row r="431" spans="1:15" ht="23.25" customHeight="1" x14ac:dyDescent="0.2">
      <c r="A431" s="108" t="s">
        <v>386</v>
      </c>
      <c r="B431" s="108" t="s">
        <v>396</v>
      </c>
      <c r="C431" s="51" t="s">
        <v>7</v>
      </c>
      <c r="D431" s="1">
        <f>E431+F431+G431+H431+I431+J431+K431+L431+M431+N431+O431</f>
        <v>57.699999999999996</v>
      </c>
      <c r="E431" s="1">
        <f>SUM(E432:E435)</f>
        <v>0</v>
      </c>
      <c r="F431" s="1">
        <f t="shared" ref="F431:O431" si="188">SUM(F432:F435)</f>
        <v>0</v>
      </c>
      <c r="G431" s="1">
        <f t="shared" si="188"/>
        <v>0</v>
      </c>
      <c r="H431" s="1">
        <f t="shared" si="188"/>
        <v>0</v>
      </c>
      <c r="I431" s="1">
        <f t="shared" si="188"/>
        <v>0</v>
      </c>
      <c r="J431" s="1">
        <f t="shared" si="188"/>
        <v>0</v>
      </c>
      <c r="K431" s="1">
        <f t="shared" si="188"/>
        <v>0</v>
      </c>
      <c r="L431" s="1">
        <f t="shared" si="188"/>
        <v>20</v>
      </c>
      <c r="M431" s="1">
        <f t="shared" si="188"/>
        <v>11.299999999999999</v>
      </c>
      <c r="N431" s="1">
        <f t="shared" si="188"/>
        <v>13.3</v>
      </c>
      <c r="O431" s="1">
        <f t="shared" si="188"/>
        <v>13.1</v>
      </c>
    </row>
    <row r="432" spans="1:15" ht="23.25" customHeight="1" x14ac:dyDescent="0.2">
      <c r="A432" s="108"/>
      <c r="B432" s="108"/>
      <c r="C432" s="51" t="s">
        <v>10</v>
      </c>
      <c r="D432" s="1">
        <f t="shared" ref="D432:D435" si="189">E432+F432+G432+H432+I432+J432+K432+L432+M432+N432+O432</f>
        <v>0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</row>
    <row r="433" spans="1:15" ht="23.25" customHeight="1" x14ac:dyDescent="0.2">
      <c r="A433" s="108"/>
      <c r="B433" s="108"/>
      <c r="C433" s="51" t="s">
        <v>11</v>
      </c>
      <c r="D433" s="1">
        <f t="shared" si="189"/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</row>
    <row r="434" spans="1:15" ht="23.25" customHeight="1" x14ac:dyDescent="0.2">
      <c r="A434" s="108"/>
      <c r="B434" s="108"/>
      <c r="C434" s="51" t="s">
        <v>12</v>
      </c>
      <c r="D434" s="1">
        <f t="shared" si="189"/>
        <v>57.699999999999996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f>550.5-550.5</f>
        <v>0</v>
      </c>
      <c r="L434" s="1">
        <f>20</f>
        <v>20</v>
      </c>
      <c r="M434" s="1">
        <f>21.2-9.9</f>
        <v>11.299999999999999</v>
      </c>
      <c r="N434" s="1">
        <f>21.3-8</f>
        <v>13.3</v>
      </c>
      <c r="O434" s="1">
        <v>13.1</v>
      </c>
    </row>
    <row r="435" spans="1:15" ht="23.25" customHeight="1" x14ac:dyDescent="0.2">
      <c r="A435" s="108"/>
      <c r="B435" s="108"/>
      <c r="C435" s="59" t="s">
        <v>13</v>
      </c>
      <c r="D435" s="1">
        <f t="shared" si="189"/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</row>
    <row r="436" spans="1:15" ht="23.25" hidden="1" customHeight="1" x14ac:dyDescent="0.2">
      <c r="A436" s="108" t="s">
        <v>444</v>
      </c>
      <c r="B436" s="108" t="s">
        <v>445</v>
      </c>
      <c r="C436" s="51" t="s">
        <v>7</v>
      </c>
      <c r="D436" s="1">
        <f>E436+F436+G436+H436+I436+J436+K436+L436+M436+N436+O436</f>
        <v>0</v>
      </c>
      <c r="E436" s="1">
        <f>SUM(E437:E440)</f>
        <v>0</v>
      </c>
      <c r="F436" s="1">
        <f t="shared" ref="F436:O436" si="190">SUM(F437:F440)</f>
        <v>0</v>
      </c>
      <c r="G436" s="1">
        <f t="shared" si="190"/>
        <v>0</v>
      </c>
      <c r="H436" s="1">
        <f t="shared" si="190"/>
        <v>0</v>
      </c>
      <c r="I436" s="1">
        <f t="shared" si="190"/>
        <v>0</v>
      </c>
      <c r="J436" s="1">
        <f t="shared" si="190"/>
        <v>0</v>
      </c>
      <c r="K436" s="1">
        <f t="shared" si="190"/>
        <v>0</v>
      </c>
      <c r="L436" s="1">
        <f t="shared" si="190"/>
        <v>0</v>
      </c>
      <c r="M436" s="1">
        <f t="shared" si="190"/>
        <v>0</v>
      </c>
      <c r="N436" s="1">
        <f t="shared" si="190"/>
        <v>0</v>
      </c>
      <c r="O436" s="1">
        <f t="shared" si="190"/>
        <v>0</v>
      </c>
    </row>
    <row r="437" spans="1:15" ht="23.25" hidden="1" customHeight="1" x14ac:dyDescent="0.2">
      <c r="A437" s="108"/>
      <c r="B437" s="108"/>
      <c r="C437" s="51" t="s">
        <v>10</v>
      </c>
      <c r="D437" s="1">
        <f t="shared" ref="D437:D440" si="191">E437+F437+G437+H437+I437+J437+K437+L437+M437+N437+O437</f>
        <v>0</v>
      </c>
      <c r="E437" s="1">
        <v>0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</row>
    <row r="438" spans="1:15" ht="23.25" hidden="1" customHeight="1" x14ac:dyDescent="0.2">
      <c r="A438" s="108"/>
      <c r="B438" s="108"/>
      <c r="C438" s="51" t="s">
        <v>11</v>
      </c>
      <c r="D438" s="1">
        <f t="shared" si="191"/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</row>
    <row r="439" spans="1:15" ht="23.25" hidden="1" customHeight="1" x14ac:dyDescent="0.2">
      <c r="A439" s="108"/>
      <c r="B439" s="108"/>
      <c r="C439" s="51" t="s">
        <v>12</v>
      </c>
      <c r="D439" s="1">
        <f t="shared" si="191"/>
        <v>0</v>
      </c>
      <c r="E439" s="1">
        <v>0</v>
      </c>
      <c r="F439" s="1">
        <v>0</v>
      </c>
      <c r="G439" s="1">
        <v>0</v>
      </c>
      <c r="H439" s="1">
        <v>0</v>
      </c>
      <c r="I439" s="1">
        <v>0</v>
      </c>
      <c r="J439" s="1">
        <v>0</v>
      </c>
      <c r="K439" s="1">
        <f>550.5-550.5</f>
        <v>0</v>
      </c>
      <c r="L439" s="1">
        <v>0</v>
      </c>
      <c r="M439" s="1">
        <f>650-650</f>
        <v>0</v>
      </c>
      <c r="N439" s="1">
        <v>0</v>
      </c>
      <c r="O439" s="1">
        <v>0</v>
      </c>
    </row>
    <row r="440" spans="1:15" ht="23.25" hidden="1" customHeight="1" x14ac:dyDescent="0.2">
      <c r="A440" s="108"/>
      <c r="B440" s="108"/>
      <c r="C440" s="59" t="s">
        <v>13</v>
      </c>
      <c r="D440" s="1">
        <f t="shared" si="191"/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</row>
    <row r="441" spans="1:15" ht="15.75" x14ac:dyDescent="0.2">
      <c r="A441" s="108" t="s">
        <v>149</v>
      </c>
      <c r="B441" s="103" t="s">
        <v>379</v>
      </c>
      <c r="C441" s="51" t="s">
        <v>7</v>
      </c>
      <c r="D441" s="1">
        <f>E441+F441+G441+H441+I441+J441+K441+L441+M441+N441+O441</f>
        <v>39329.599999999991</v>
      </c>
      <c r="E441" s="1">
        <f>E442+E443+E444+E446</f>
        <v>3741.9</v>
      </c>
      <c r="F441" s="1">
        <f t="shared" ref="F441:O441" si="192">F442+F443+F444+F446</f>
        <v>2450</v>
      </c>
      <c r="G441" s="1">
        <f t="shared" si="192"/>
        <v>2262.1</v>
      </c>
      <c r="H441" s="1">
        <f t="shared" si="192"/>
        <v>1999</v>
      </c>
      <c r="I441" s="1">
        <f t="shared" si="192"/>
        <v>13558.599999999999</v>
      </c>
      <c r="J441" s="1">
        <f>J442+J443+J444+J446</f>
        <v>8475.2999999999993</v>
      </c>
      <c r="K441" s="1">
        <f t="shared" si="192"/>
        <v>5424.9</v>
      </c>
      <c r="L441" s="1">
        <f t="shared" si="192"/>
        <v>1285.4000000000003</v>
      </c>
      <c r="M441" s="1">
        <f t="shared" si="192"/>
        <v>0</v>
      </c>
      <c r="N441" s="1">
        <f t="shared" si="192"/>
        <v>66.7</v>
      </c>
      <c r="O441" s="1">
        <f t="shared" si="192"/>
        <v>65.699999999999989</v>
      </c>
    </row>
    <row r="442" spans="1:15" ht="15.75" x14ac:dyDescent="0.2">
      <c r="A442" s="108"/>
      <c r="B442" s="103"/>
      <c r="C442" s="51" t="s">
        <v>10</v>
      </c>
      <c r="D442" s="1">
        <f t="shared" si="175"/>
        <v>0</v>
      </c>
      <c r="E442" s="1">
        <f>E448+E455+E460</f>
        <v>0</v>
      </c>
      <c r="F442" s="1">
        <f t="shared" ref="F442:O442" si="193">F448+F455+F460</f>
        <v>0</v>
      </c>
      <c r="G442" s="1">
        <f t="shared" si="193"/>
        <v>0</v>
      </c>
      <c r="H442" s="1">
        <f t="shared" si="193"/>
        <v>0</v>
      </c>
      <c r="I442" s="1">
        <f t="shared" si="193"/>
        <v>0</v>
      </c>
      <c r="J442" s="1">
        <f t="shared" si="193"/>
        <v>0</v>
      </c>
      <c r="K442" s="1">
        <f t="shared" si="193"/>
        <v>0</v>
      </c>
      <c r="L442" s="1">
        <f t="shared" si="193"/>
        <v>0</v>
      </c>
      <c r="M442" s="1">
        <f t="shared" si="193"/>
        <v>0</v>
      </c>
      <c r="N442" s="1">
        <f t="shared" si="193"/>
        <v>0</v>
      </c>
      <c r="O442" s="1">
        <f t="shared" si="193"/>
        <v>0</v>
      </c>
    </row>
    <row r="443" spans="1:15" ht="15.75" x14ac:dyDescent="0.2">
      <c r="A443" s="108"/>
      <c r="B443" s="103"/>
      <c r="C443" s="51" t="s">
        <v>11</v>
      </c>
      <c r="D443" s="1">
        <f t="shared" si="175"/>
        <v>22235.8</v>
      </c>
      <c r="E443" s="1">
        <f t="shared" ref="E443:O443" si="194">E449+E456+E461</f>
        <v>0</v>
      </c>
      <c r="F443" s="1">
        <f t="shared" si="194"/>
        <v>0</v>
      </c>
      <c r="G443" s="1">
        <f t="shared" si="194"/>
        <v>0</v>
      </c>
      <c r="H443" s="1">
        <f t="shared" si="194"/>
        <v>0</v>
      </c>
      <c r="I443" s="1">
        <f>I449+I456+I461</f>
        <v>11234.3</v>
      </c>
      <c r="J443" s="1">
        <f>J449+J456+J461+J466</f>
        <v>7403.7</v>
      </c>
      <c r="K443" s="1">
        <f t="shared" si="194"/>
        <v>3597.8</v>
      </c>
      <c r="L443" s="1">
        <f t="shared" si="194"/>
        <v>0</v>
      </c>
      <c r="M443" s="1">
        <f t="shared" si="194"/>
        <v>0</v>
      </c>
      <c r="N443" s="1">
        <f t="shared" si="194"/>
        <v>0</v>
      </c>
      <c r="O443" s="1">
        <f t="shared" si="194"/>
        <v>0</v>
      </c>
    </row>
    <row r="444" spans="1:15" ht="31.5" x14ac:dyDescent="0.2">
      <c r="A444" s="108"/>
      <c r="B444" s="103"/>
      <c r="C444" s="51" t="s">
        <v>65</v>
      </c>
      <c r="D444" s="1">
        <f t="shared" si="175"/>
        <v>17093.800000000003</v>
      </c>
      <c r="E444" s="1">
        <f>E450+E457+E462+E467</f>
        <v>3741.9</v>
      </c>
      <c r="F444" s="1">
        <f t="shared" ref="F444:J444" si="195">F450+F457+F462+F467</f>
        <v>2450</v>
      </c>
      <c r="G444" s="1">
        <f t="shared" si="195"/>
        <v>2262.1</v>
      </c>
      <c r="H444" s="1">
        <f t="shared" si="195"/>
        <v>1999</v>
      </c>
      <c r="I444" s="1">
        <f>I450+I457+I462+I467</f>
        <v>2324.3000000000002</v>
      </c>
      <c r="J444" s="1">
        <f t="shared" si="195"/>
        <v>1071.5999999999999</v>
      </c>
      <c r="K444" s="1">
        <f>K450+K457+K462+K467+K472</f>
        <v>1827.1</v>
      </c>
      <c r="L444" s="1">
        <f>L450+L457+L462+L467+L472+L477</f>
        <v>1285.4000000000003</v>
      </c>
      <c r="M444" s="1">
        <f t="shared" ref="M444:O444" si="196">M450+M457+M462+M467+M472</f>
        <v>0</v>
      </c>
      <c r="N444" s="1">
        <f t="shared" si="196"/>
        <v>66.7</v>
      </c>
      <c r="O444" s="1">
        <f t="shared" si="196"/>
        <v>65.699999999999989</v>
      </c>
    </row>
    <row r="445" spans="1:15" ht="31.5" x14ac:dyDescent="0.2">
      <c r="A445" s="108"/>
      <c r="B445" s="103"/>
      <c r="C445" s="76" t="s">
        <v>79</v>
      </c>
      <c r="D445" s="1">
        <f t="shared" si="175"/>
        <v>3631.3</v>
      </c>
      <c r="E445" s="1">
        <f t="shared" ref="E445:K445" si="197">E451+E458+E463</f>
        <v>2932.6</v>
      </c>
      <c r="F445" s="1">
        <f t="shared" si="197"/>
        <v>0</v>
      </c>
      <c r="G445" s="1">
        <f t="shared" si="197"/>
        <v>0</v>
      </c>
      <c r="H445" s="1">
        <f t="shared" si="197"/>
        <v>0</v>
      </c>
      <c r="I445" s="1">
        <f>I451+I458+I463</f>
        <v>698.7</v>
      </c>
      <c r="J445" s="1">
        <f t="shared" si="197"/>
        <v>0</v>
      </c>
      <c r="K445" s="1">
        <f t="shared" si="197"/>
        <v>0</v>
      </c>
      <c r="L445" s="1">
        <f>L451+L458+L463</f>
        <v>0</v>
      </c>
      <c r="M445" s="1">
        <f>M451+M458+M463</f>
        <v>0</v>
      </c>
      <c r="N445" s="1">
        <f>N451+N458+N463</f>
        <v>0</v>
      </c>
      <c r="O445" s="1">
        <f>O451+O458+O463</f>
        <v>0</v>
      </c>
    </row>
    <row r="446" spans="1:15" ht="39" customHeight="1" x14ac:dyDescent="0.2">
      <c r="A446" s="108"/>
      <c r="B446" s="103"/>
      <c r="C446" s="51" t="s">
        <v>13</v>
      </c>
      <c r="D446" s="1">
        <f t="shared" si="175"/>
        <v>0</v>
      </c>
      <c r="E446" s="1">
        <v>0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</row>
    <row r="447" spans="1:15" ht="15.75" x14ac:dyDescent="0.2">
      <c r="A447" s="108" t="s">
        <v>150</v>
      </c>
      <c r="B447" s="103" t="s">
        <v>45</v>
      </c>
      <c r="C447" s="51" t="s">
        <v>7</v>
      </c>
      <c r="D447" s="1">
        <f t="shared" si="175"/>
        <v>11185.6</v>
      </c>
      <c r="E447" s="1">
        <f t="shared" ref="E447:O447" si="198">E448+E449+E450+E453</f>
        <v>3437.4</v>
      </c>
      <c r="F447" s="1">
        <f t="shared" si="198"/>
        <v>2000</v>
      </c>
      <c r="G447" s="1">
        <f t="shared" si="198"/>
        <v>2000</v>
      </c>
      <c r="H447" s="1">
        <f t="shared" si="198"/>
        <v>1905.6</v>
      </c>
      <c r="I447" s="1">
        <f t="shared" si="198"/>
        <v>698.69999999999993</v>
      </c>
      <c r="J447" s="1">
        <f t="shared" si="198"/>
        <v>599</v>
      </c>
      <c r="K447" s="1">
        <f t="shared" si="198"/>
        <v>544.9</v>
      </c>
      <c r="L447" s="1">
        <f t="shared" si="198"/>
        <v>0</v>
      </c>
      <c r="M447" s="1">
        <f t="shared" si="198"/>
        <v>0</v>
      </c>
      <c r="N447" s="1">
        <f t="shared" si="198"/>
        <v>0</v>
      </c>
      <c r="O447" s="1">
        <f t="shared" si="198"/>
        <v>0</v>
      </c>
    </row>
    <row r="448" spans="1:15" ht="15.75" customHeight="1" x14ac:dyDescent="0.2">
      <c r="A448" s="108"/>
      <c r="B448" s="103"/>
      <c r="C448" s="51" t="s">
        <v>10</v>
      </c>
      <c r="D448" s="1">
        <f t="shared" ref="D448:D453" si="199">E448+F448+G448+H448+I448+J448+K448+L448+M448+N448+O448</f>
        <v>0</v>
      </c>
      <c r="E448" s="1">
        <v>0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</row>
    <row r="449" spans="1:15" ht="15.75" customHeight="1" x14ac:dyDescent="0.2">
      <c r="A449" s="108"/>
      <c r="B449" s="103"/>
      <c r="C449" s="51" t="s">
        <v>11</v>
      </c>
      <c r="D449" s="1">
        <f t="shared" si="199"/>
        <v>0</v>
      </c>
      <c r="E449" s="1">
        <v>0</v>
      </c>
      <c r="F449" s="1">
        <v>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</row>
    <row r="450" spans="1:15" ht="31.5" x14ac:dyDescent="0.2">
      <c r="A450" s="108"/>
      <c r="B450" s="103"/>
      <c r="C450" s="51" t="s">
        <v>65</v>
      </c>
      <c r="D450" s="1">
        <f t="shared" si="199"/>
        <v>11185.6</v>
      </c>
      <c r="E450" s="1">
        <v>3437.4</v>
      </c>
      <c r="F450" s="1">
        <v>2000</v>
      </c>
      <c r="G450" s="1">
        <v>2000</v>
      </c>
      <c r="H450" s="1">
        <v>1905.6</v>
      </c>
      <c r="I450" s="1">
        <f>734.4-35.7</f>
        <v>698.69999999999993</v>
      </c>
      <c r="J450" s="1">
        <f>1907.8-800-508.8</f>
        <v>599</v>
      </c>
      <c r="K450" s="1">
        <f>775.5-230.6</f>
        <v>544.9</v>
      </c>
      <c r="L450" s="1">
        <f>181.4-181.4+181.4-181.4</f>
        <v>0</v>
      </c>
      <c r="M450" s="1">
        <f>192.3-192.3</f>
        <v>0</v>
      </c>
      <c r="N450" s="1">
        <f>193.3-193.3</f>
        <v>0</v>
      </c>
      <c r="O450" s="1">
        <f>866.6-866.6</f>
        <v>0</v>
      </c>
    </row>
    <row r="451" spans="1:15" ht="31.5" x14ac:dyDescent="0.2">
      <c r="A451" s="108"/>
      <c r="B451" s="103"/>
      <c r="C451" s="76" t="s">
        <v>79</v>
      </c>
      <c r="D451" s="1">
        <f t="shared" si="199"/>
        <v>3631.3</v>
      </c>
      <c r="E451" s="73">
        <v>2932.6</v>
      </c>
      <c r="F451" s="73">
        <v>0</v>
      </c>
      <c r="G451" s="73">
        <v>0</v>
      </c>
      <c r="H451" s="73">
        <v>0</v>
      </c>
      <c r="I451" s="73">
        <v>698.7</v>
      </c>
      <c r="J451" s="73">
        <v>0</v>
      </c>
      <c r="K451" s="73">
        <v>0</v>
      </c>
      <c r="L451" s="73">
        <v>0</v>
      </c>
      <c r="M451" s="73">
        <v>0</v>
      </c>
      <c r="N451" s="73">
        <v>0</v>
      </c>
      <c r="O451" s="73">
        <v>0</v>
      </c>
    </row>
    <row r="452" spans="1:15" ht="31.5" x14ac:dyDescent="0.2">
      <c r="A452" s="108"/>
      <c r="B452" s="103"/>
      <c r="C452" s="76" t="s">
        <v>81</v>
      </c>
      <c r="D452" s="1">
        <f t="shared" si="199"/>
        <v>475.5</v>
      </c>
      <c r="E452" s="1">
        <v>0</v>
      </c>
      <c r="F452" s="1">
        <v>0</v>
      </c>
      <c r="G452" s="1">
        <v>0</v>
      </c>
      <c r="H452" s="1">
        <v>475.5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</row>
    <row r="453" spans="1:15" ht="40.5" customHeight="1" x14ac:dyDescent="0.2">
      <c r="A453" s="108"/>
      <c r="B453" s="103"/>
      <c r="C453" s="51" t="s">
        <v>13</v>
      </c>
      <c r="D453" s="1">
        <f t="shared" si="199"/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5" ht="21" customHeight="1" x14ac:dyDescent="0.2">
      <c r="A454" s="108" t="s">
        <v>151</v>
      </c>
      <c r="B454" s="103" t="s">
        <v>50</v>
      </c>
      <c r="C454" s="51" t="s">
        <v>7</v>
      </c>
      <c r="D454" s="1">
        <f t="shared" ref="D454:D507" si="200">E454+F454+G454+H454+I454+J454+K454+L454+M454+N454+O454</f>
        <v>1588.8000000000002</v>
      </c>
      <c r="E454" s="1">
        <f t="shared" ref="E454:O454" si="201">E455+E456+E457+E458</f>
        <v>304.5</v>
      </c>
      <c r="F454" s="1">
        <f t="shared" si="201"/>
        <v>450</v>
      </c>
      <c r="G454" s="1">
        <f t="shared" si="201"/>
        <v>262.10000000000002</v>
      </c>
      <c r="H454" s="1">
        <f t="shared" si="201"/>
        <v>93.4</v>
      </c>
      <c r="I454" s="1">
        <f t="shared" si="201"/>
        <v>346.4</v>
      </c>
      <c r="J454" s="1">
        <f t="shared" si="201"/>
        <v>0</v>
      </c>
      <c r="K454" s="1">
        <f t="shared" si="201"/>
        <v>0</v>
      </c>
      <c r="L454" s="1">
        <f t="shared" si="201"/>
        <v>0</v>
      </c>
      <c r="M454" s="1">
        <f t="shared" si="201"/>
        <v>0</v>
      </c>
      <c r="N454" s="1">
        <f t="shared" si="201"/>
        <v>66.7</v>
      </c>
      <c r="O454" s="1">
        <f t="shared" si="201"/>
        <v>65.699999999999989</v>
      </c>
    </row>
    <row r="455" spans="1:15" ht="17.25" customHeight="1" x14ac:dyDescent="0.2">
      <c r="A455" s="108"/>
      <c r="B455" s="103"/>
      <c r="C455" s="51" t="s">
        <v>10</v>
      </c>
      <c r="D455" s="1">
        <f t="shared" si="200"/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</row>
    <row r="456" spans="1:15" ht="17.25" customHeight="1" x14ac:dyDescent="0.2">
      <c r="A456" s="108"/>
      <c r="B456" s="103"/>
      <c r="C456" s="51" t="s">
        <v>11</v>
      </c>
      <c r="D456" s="1">
        <f t="shared" si="200"/>
        <v>0</v>
      </c>
      <c r="E456" s="1">
        <v>0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</row>
    <row r="457" spans="1:15" ht="21" customHeight="1" x14ac:dyDescent="0.2">
      <c r="A457" s="108"/>
      <c r="B457" s="103"/>
      <c r="C457" s="51" t="s">
        <v>12</v>
      </c>
      <c r="D457" s="1">
        <f t="shared" si="200"/>
        <v>1588.8000000000002</v>
      </c>
      <c r="E457" s="1">
        <v>304.5</v>
      </c>
      <c r="F457" s="1">
        <v>450</v>
      </c>
      <c r="G457" s="1">
        <v>262.10000000000002</v>
      </c>
      <c r="H457" s="1">
        <v>93.4</v>
      </c>
      <c r="I457" s="1">
        <f>504.9-158.5</f>
        <v>346.4</v>
      </c>
      <c r="J457" s="1">
        <f>227.7-227.7</f>
        <v>0</v>
      </c>
      <c r="K457" s="1">
        <f>420-320-100</f>
        <v>0</v>
      </c>
      <c r="L457" s="1">
        <f>56.6-56.6+56.6-56.6</f>
        <v>0</v>
      </c>
      <c r="M457" s="1">
        <f>75-4.2-70.8+70.8-70.8</f>
        <v>0</v>
      </c>
      <c r="N457" s="1">
        <f>60.3+6.4</f>
        <v>66.7</v>
      </c>
      <c r="O457" s="1">
        <f>139.2-73.5</f>
        <v>65.699999999999989</v>
      </c>
    </row>
    <row r="458" spans="1:15" ht="37.5" customHeight="1" x14ac:dyDescent="0.2">
      <c r="A458" s="108"/>
      <c r="B458" s="103"/>
      <c r="C458" s="51" t="s">
        <v>13</v>
      </c>
      <c r="D458" s="1">
        <f t="shared" si="200"/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</row>
    <row r="459" spans="1:15" ht="15.75" x14ac:dyDescent="0.2">
      <c r="A459" s="108" t="s">
        <v>276</v>
      </c>
      <c r="B459" s="103" t="s">
        <v>274</v>
      </c>
      <c r="C459" s="83" t="s">
        <v>7</v>
      </c>
      <c r="D459" s="3">
        <f t="shared" si="200"/>
        <v>24217.200000000001</v>
      </c>
      <c r="E459" s="3">
        <f>E460+E461+E462+E463</f>
        <v>0</v>
      </c>
      <c r="F459" s="3">
        <f t="shared" ref="F459:O459" si="202">F460+F461+F462+F463</f>
        <v>0</v>
      </c>
      <c r="G459" s="3">
        <f t="shared" si="202"/>
        <v>0</v>
      </c>
      <c r="H459" s="3">
        <f t="shared" si="202"/>
        <v>0</v>
      </c>
      <c r="I459" s="3">
        <f t="shared" si="202"/>
        <v>12513.5</v>
      </c>
      <c r="J459" s="3">
        <f t="shared" si="202"/>
        <v>7876.2999999999993</v>
      </c>
      <c r="K459" s="3">
        <f t="shared" si="202"/>
        <v>3827.4</v>
      </c>
      <c r="L459" s="3">
        <f t="shared" si="202"/>
        <v>0</v>
      </c>
      <c r="M459" s="3">
        <f t="shared" si="202"/>
        <v>0</v>
      </c>
      <c r="N459" s="3">
        <f t="shared" si="202"/>
        <v>0</v>
      </c>
      <c r="O459" s="3">
        <f t="shared" si="202"/>
        <v>0</v>
      </c>
    </row>
    <row r="460" spans="1:15" ht="15.75" x14ac:dyDescent="0.2">
      <c r="A460" s="108"/>
      <c r="B460" s="132"/>
      <c r="C460" s="59" t="s">
        <v>10</v>
      </c>
      <c r="D460" s="3">
        <f t="shared" si="200"/>
        <v>0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  <c r="N460" s="3">
        <v>0</v>
      </c>
      <c r="O460" s="3">
        <v>0</v>
      </c>
    </row>
    <row r="461" spans="1:15" ht="15.75" x14ac:dyDescent="0.2">
      <c r="A461" s="108"/>
      <c r="B461" s="132"/>
      <c r="C461" s="59" t="s">
        <v>11</v>
      </c>
      <c r="D461" s="3">
        <f t="shared" si="200"/>
        <v>22235.8</v>
      </c>
      <c r="E461" s="3">
        <v>0</v>
      </c>
      <c r="F461" s="3">
        <v>0</v>
      </c>
      <c r="G461" s="3">
        <v>0</v>
      </c>
      <c r="H461" s="3">
        <v>0</v>
      </c>
      <c r="I461" s="3">
        <v>11234.3</v>
      </c>
      <c r="J461" s="3">
        <v>7403.7</v>
      </c>
      <c r="K461" s="3">
        <v>3597.8</v>
      </c>
      <c r="L461" s="3">
        <v>0</v>
      </c>
      <c r="M461" s="3">
        <v>0</v>
      </c>
      <c r="N461" s="3">
        <v>0</v>
      </c>
      <c r="O461" s="3">
        <v>0</v>
      </c>
    </row>
    <row r="462" spans="1:15" ht="15.75" x14ac:dyDescent="0.2">
      <c r="A462" s="108"/>
      <c r="B462" s="132"/>
      <c r="C462" s="59" t="s">
        <v>12</v>
      </c>
      <c r="D462" s="3">
        <f t="shared" si="200"/>
        <v>1981.3999999999999</v>
      </c>
      <c r="E462" s="3">
        <v>0</v>
      </c>
      <c r="F462" s="3">
        <v>0</v>
      </c>
      <c r="G462" s="3">
        <v>0</v>
      </c>
      <c r="H462" s="3">
        <v>0</v>
      </c>
      <c r="I462" s="3">
        <f>1850-570.8</f>
        <v>1279.2</v>
      </c>
      <c r="J462" s="3">
        <f>3000-545.9-1981.5</f>
        <v>472.59999999999991</v>
      </c>
      <c r="K462" s="3">
        <v>229.6</v>
      </c>
      <c r="L462" s="3">
        <f>61.2-61.2</f>
        <v>0</v>
      </c>
      <c r="M462" s="3">
        <v>0</v>
      </c>
      <c r="N462" s="3">
        <v>0</v>
      </c>
      <c r="O462" s="3">
        <v>0</v>
      </c>
    </row>
    <row r="463" spans="1:15" ht="15" customHeight="1" x14ac:dyDescent="0.2">
      <c r="A463" s="108"/>
      <c r="B463" s="132"/>
      <c r="C463" s="59" t="s">
        <v>13</v>
      </c>
      <c r="D463" s="3">
        <f t="shared" si="200"/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  <c r="O463" s="3">
        <v>0</v>
      </c>
    </row>
    <row r="464" spans="1:15" ht="15.75" hidden="1" x14ac:dyDescent="0.2">
      <c r="A464" s="108"/>
      <c r="B464" s="103" t="s">
        <v>289</v>
      </c>
      <c r="C464" s="83" t="s">
        <v>7</v>
      </c>
      <c r="D464" s="3">
        <f t="shared" si="200"/>
        <v>0</v>
      </c>
      <c r="E464" s="3">
        <f>E465+E466+E467+E468</f>
        <v>0</v>
      </c>
      <c r="F464" s="3">
        <f t="shared" ref="F464:O464" si="203">F465+F466+F467+F468</f>
        <v>0</v>
      </c>
      <c r="G464" s="3">
        <f t="shared" si="203"/>
        <v>0</v>
      </c>
      <c r="H464" s="3">
        <f t="shared" si="203"/>
        <v>0</v>
      </c>
      <c r="I464" s="3">
        <f t="shared" si="203"/>
        <v>0</v>
      </c>
      <c r="J464" s="3">
        <f t="shared" si="203"/>
        <v>0</v>
      </c>
      <c r="K464" s="3">
        <f t="shared" si="203"/>
        <v>0</v>
      </c>
      <c r="L464" s="3">
        <f t="shared" si="203"/>
        <v>0</v>
      </c>
      <c r="M464" s="3">
        <f t="shared" si="203"/>
        <v>0</v>
      </c>
      <c r="N464" s="3">
        <f t="shared" si="203"/>
        <v>0</v>
      </c>
      <c r="O464" s="3">
        <f t="shared" si="203"/>
        <v>0</v>
      </c>
    </row>
    <row r="465" spans="1:15" ht="15.75" hidden="1" x14ac:dyDescent="0.2">
      <c r="A465" s="108"/>
      <c r="B465" s="132"/>
      <c r="C465" s="59" t="s">
        <v>10</v>
      </c>
      <c r="D465" s="3">
        <f t="shared" si="200"/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  <c r="O465" s="3">
        <v>0</v>
      </c>
    </row>
    <row r="466" spans="1:15" ht="15.75" hidden="1" x14ac:dyDescent="0.2">
      <c r="A466" s="108"/>
      <c r="B466" s="132"/>
      <c r="C466" s="59" t="s">
        <v>11</v>
      </c>
      <c r="D466" s="3">
        <f t="shared" si="200"/>
        <v>0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  <c r="N466" s="3">
        <v>0</v>
      </c>
      <c r="O466" s="3">
        <v>0</v>
      </c>
    </row>
    <row r="467" spans="1:15" ht="15.75" hidden="1" x14ac:dyDescent="0.2">
      <c r="A467" s="108"/>
      <c r="B467" s="132"/>
      <c r="C467" s="59" t="s">
        <v>12</v>
      </c>
      <c r="D467" s="3">
        <f t="shared" si="200"/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  <c r="O467" s="3">
        <f>N467*104%</f>
        <v>0</v>
      </c>
    </row>
    <row r="468" spans="1:15" ht="18" hidden="1" customHeight="1" x14ac:dyDescent="0.2">
      <c r="A468" s="108"/>
      <c r="B468" s="132"/>
      <c r="C468" s="59" t="s">
        <v>13</v>
      </c>
      <c r="D468" s="3">
        <f t="shared" si="200"/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  <c r="O468" s="3">
        <v>0</v>
      </c>
    </row>
    <row r="469" spans="1:15" ht="18" customHeight="1" x14ac:dyDescent="0.2">
      <c r="A469" s="108" t="s">
        <v>291</v>
      </c>
      <c r="B469" s="138" t="s">
        <v>404</v>
      </c>
      <c r="C469" s="83" t="s">
        <v>7</v>
      </c>
      <c r="D469" s="3">
        <f t="shared" si="200"/>
        <v>1052.5999999999999</v>
      </c>
      <c r="E469" s="3">
        <f>E470+E471+E472+E473</f>
        <v>0</v>
      </c>
      <c r="F469" s="3">
        <f t="shared" ref="F469:O469" si="204">F470+F471+F472+F473</f>
        <v>0</v>
      </c>
      <c r="G469" s="3">
        <f t="shared" si="204"/>
        <v>0</v>
      </c>
      <c r="H469" s="3">
        <f t="shared" si="204"/>
        <v>0</v>
      </c>
      <c r="I469" s="3">
        <f t="shared" si="204"/>
        <v>0</v>
      </c>
      <c r="J469" s="3">
        <f t="shared" si="204"/>
        <v>0</v>
      </c>
      <c r="K469" s="3">
        <f t="shared" si="204"/>
        <v>1052.5999999999999</v>
      </c>
      <c r="L469" s="3">
        <f t="shared" si="204"/>
        <v>0</v>
      </c>
      <c r="M469" s="3">
        <f t="shared" si="204"/>
        <v>0</v>
      </c>
      <c r="N469" s="3">
        <f t="shared" si="204"/>
        <v>0</v>
      </c>
      <c r="O469" s="3">
        <f t="shared" si="204"/>
        <v>0</v>
      </c>
    </row>
    <row r="470" spans="1:15" ht="18" customHeight="1" x14ac:dyDescent="0.2">
      <c r="A470" s="108"/>
      <c r="B470" s="139"/>
      <c r="C470" s="59" t="s">
        <v>10</v>
      </c>
      <c r="D470" s="3">
        <f t="shared" si="200"/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  <c r="O470" s="3">
        <v>0</v>
      </c>
    </row>
    <row r="471" spans="1:15" ht="18" customHeight="1" x14ac:dyDescent="0.2">
      <c r="A471" s="108"/>
      <c r="B471" s="139"/>
      <c r="C471" s="59" t="s">
        <v>11</v>
      </c>
      <c r="D471" s="3">
        <f t="shared" si="200"/>
        <v>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0</v>
      </c>
      <c r="O471" s="3">
        <v>0</v>
      </c>
    </row>
    <row r="472" spans="1:15" ht="18" customHeight="1" x14ac:dyDescent="0.2">
      <c r="A472" s="108"/>
      <c r="B472" s="139"/>
      <c r="C472" s="59" t="s">
        <v>12</v>
      </c>
      <c r="D472" s="3">
        <f t="shared" si="200"/>
        <v>1052.5999999999999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1052.5999999999999</v>
      </c>
      <c r="L472" s="3">
        <v>0</v>
      </c>
      <c r="M472" s="3">
        <v>0</v>
      </c>
      <c r="N472" s="3">
        <v>0</v>
      </c>
      <c r="O472" s="3">
        <v>0</v>
      </c>
    </row>
    <row r="473" spans="1:15" ht="33" customHeight="1" x14ac:dyDescent="0.2">
      <c r="A473" s="108"/>
      <c r="B473" s="140"/>
      <c r="C473" s="59" t="s">
        <v>13</v>
      </c>
      <c r="D473" s="3">
        <f t="shared" si="200"/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  <c r="O473" s="3">
        <v>0</v>
      </c>
    </row>
    <row r="474" spans="1:15" ht="18" customHeight="1" x14ac:dyDescent="0.2">
      <c r="A474" s="108" t="s">
        <v>435</v>
      </c>
      <c r="B474" s="97" t="s">
        <v>434</v>
      </c>
      <c r="C474" s="83" t="s">
        <v>7</v>
      </c>
      <c r="D474" s="1">
        <f t="shared" si="200"/>
        <v>1285.4000000000003</v>
      </c>
      <c r="E474" s="3">
        <f>E475+E476+E477+E478</f>
        <v>0</v>
      </c>
      <c r="F474" s="3">
        <f t="shared" ref="F474:H474" si="205">F475+F476+F477+F478</f>
        <v>0</v>
      </c>
      <c r="G474" s="3">
        <f t="shared" si="205"/>
        <v>0</v>
      </c>
      <c r="H474" s="3">
        <f t="shared" si="205"/>
        <v>0</v>
      </c>
      <c r="I474" s="3">
        <f>I475+I476+I477+I478</f>
        <v>0</v>
      </c>
      <c r="J474" s="3">
        <f t="shared" ref="J474:O474" si="206">J475+J476+J477+J478</f>
        <v>0</v>
      </c>
      <c r="K474" s="3">
        <f t="shared" si="206"/>
        <v>0</v>
      </c>
      <c r="L474" s="3">
        <f t="shared" si="206"/>
        <v>1285.4000000000003</v>
      </c>
      <c r="M474" s="3">
        <f t="shared" si="206"/>
        <v>0</v>
      </c>
      <c r="N474" s="3">
        <f t="shared" si="206"/>
        <v>0</v>
      </c>
      <c r="O474" s="3">
        <f t="shared" si="206"/>
        <v>0</v>
      </c>
    </row>
    <row r="475" spans="1:15" ht="18" customHeight="1" x14ac:dyDescent="0.2">
      <c r="A475" s="108"/>
      <c r="B475" s="98"/>
      <c r="C475" s="59" t="s">
        <v>10</v>
      </c>
      <c r="D475" s="1">
        <f t="shared" si="200"/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  <c r="O475" s="3">
        <v>0</v>
      </c>
    </row>
    <row r="476" spans="1:15" ht="18" customHeight="1" x14ac:dyDescent="0.2">
      <c r="A476" s="108"/>
      <c r="B476" s="98"/>
      <c r="C476" s="59" t="s">
        <v>11</v>
      </c>
      <c r="D476" s="1">
        <f>E476+F476+G476+H476+I476+J476+K476+L476+M476+N476+O476</f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  <c r="O476" s="3">
        <v>0</v>
      </c>
    </row>
    <row r="477" spans="1:15" ht="18" customHeight="1" x14ac:dyDescent="0.2">
      <c r="A477" s="108"/>
      <c r="B477" s="98"/>
      <c r="C477" s="59" t="s">
        <v>12</v>
      </c>
      <c r="D477" s="1">
        <f t="shared" ref="D477:D478" si="207">E477+F477+G477+H477+I477+J477+K477+L477+M477+N477+O477</f>
        <v>1285.4000000000003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f>2677.9-256.7-1135.8</f>
        <v>1285.4000000000003</v>
      </c>
      <c r="M477" s="3">
        <v>0</v>
      </c>
      <c r="N477" s="3">
        <v>0</v>
      </c>
      <c r="O477" s="3">
        <v>0</v>
      </c>
    </row>
    <row r="478" spans="1:15" ht="38.25" customHeight="1" x14ac:dyDescent="0.2">
      <c r="A478" s="108"/>
      <c r="B478" s="99"/>
      <c r="C478" s="59" t="s">
        <v>13</v>
      </c>
      <c r="D478" s="1">
        <f t="shared" si="207"/>
        <v>0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  <c r="O478" s="3">
        <v>0</v>
      </c>
    </row>
    <row r="479" spans="1:15" ht="15.75" x14ac:dyDescent="0.2">
      <c r="A479" s="108" t="s">
        <v>312</v>
      </c>
      <c r="B479" s="103" t="s">
        <v>369</v>
      </c>
      <c r="C479" s="83" t="s">
        <v>7</v>
      </c>
      <c r="D479" s="3">
        <f t="shared" si="200"/>
        <v>424805.23</v>
      </c>
      <c r="E479" s="3">
        <f>E480+E481+E482+E483</f>
        <v>0</v>
      </c>
      <c r="F479" s="3">
        <f t="shared" ref="F479:O479" si="208">F480+F481+F482+F483</f>
        <v>0</v>
      </c>
      <c r="G479" s="3">
        <f t="shared" si="208"/>
        <v>0</v>
      </c>
      <c r="H479" s="3">
        <f t="shared" si="208"/>
        <v>0</v>
      </c>
      <c r="I479" s="3">
        <f t="shared" si="208"/>
        <v>0</v>
      </c>
      <c r="J479" s="3">
        <f t="shared" si="208"/>
        <v>208238.7</v>
      </c>
      <c r="K479" s="3">
        <f>K480+K481+K482+K483</f>
        <v>216566.53</v>
      </c>
      <c r="L479" s="3">
        <f t="shared" si="208"/>
        <v>0</v>
      </c>
      <c r="M479" s="3">
        <f t="shared" si="208"/>
        <v>0</v>
      </c>
      <c r="N479" s="3">
        <f t="shared" si="208"/>
        <v>0</v>
      </c>
      <c r="O479" s="3">
        <f t="shared" si="208"/>
        <v>0</v>
      </c>
    </row>
    <row r="480" spans="1:15" ht="15.75" x14ac:dyDescent="0.2">
      <c r="A480" s="108"/>
      <c r="B480" s="132"/>
      <c r="C480" s="59" t="s">
        <v>10</v>
      </c>
      <c r="D480" s="3">
        <f t="shared" si="200"/>
        <v>115023.2</v>
      </c>
      <c r="E480" s="3">
        <f t="shared" ref="E480:O480" si="209">E485+E490</f>
        <v>0</v>
      </c>
      <c r="F480" s="3">
        <f t="shared" si="209"/>
        <v>0</v>
      </c>
      <c r="G480" s="3">
        <f t="shared" si="209"/>
        <v>0</v>
      </c>
      <c r="H480" s="3">
        <f t="shared" si="209"/>
        <v>0</v>
      </c>
      <c r="I480" s="3">
        <f t="shared" si="209"/>
        <v>0</v>
      </c>
      <c r="J480" s="3">
        <f t="shared" si="209"/>
        <v>0</v>
      </c>
      <c r="K480" s="3">
        <f t="shared" si="209"/>
        <v>115023.2</v>
      </c>
      <c r="L480" s="3">
        <f t="shared" si="209"/>
        <v>0</v>
      </c>
      <c r="M480" s="3">
        <f t="shared" si="209"/>
        <v>0</v>
      </c>
      <c r="N480" s="3">
        <f t="shared" si="209"/>
        <v>0</v>
      </c>
      <c r="O480" s="3">
        <f t="shared" si="209"/>
        <v>0</v>
      </c>
    </row>
    <row r="481" spans="1:15" ht="15.75" x14ac:dyDescent="0.2">
      <c r="A481" s="108"/>
      <c r="B481" s="132"/>
      <c r="C481" s="59" t="s">
        <v>11</v>
      </c>
      <c r="D481" s="3">
        <f t="shared" si="200"/>
        <v>287838.81</v>
      </c>
      <c r="E481" s="3">
        <f>E486+E491</f>
        <v>0</v>
      </c>
      <c r="F481" s="3">
        <f t="shared" ref="F481:O481" si="210">F486+F491</f>
        <v>0</v>
      </c>
      <c r="G481" s="3">
        <f t="shared" si="210"/>
        <v>0</v>
      </c>
      <c r="H481" s="3">
        <f t="shared" si="210"/>
        <v>0</v>
      </c>
      <c r="I481" s="3">
        <f t="shared" si="210"/>
        <v>0</v>
      </c>
      <c r="J481" s="3">
        <f t="shared" si="210"/>
        <v>193000</v>
      </c>
      <c r="K481" s="3">
        <f t="shared" si="210"/>
        <v>94838.81</v>
      </c>
      <c r="L481" s="3">
        <f t="shared" si="210"/>
        <v>0</v>
      </c>
      <c r="M481" s="3">
        <f t="shared" si="210"/>
        <v>0</v>
      </c>
      <c r="N481" s="3">
        <f t="shared" si="210"/>
        <v>0</v>
      </c>
      <c r="O481" s="3">
        <f t="shared" si="210"/>
        <v>0</v>
      </c>
    </row>
    <row r="482" spans="1:15" ht="15.75" x14ac:dyDescent="0.2">
      <c r="A482" s="108"/>
      <c r="B482" s="132"/>
      <c r="C482" s="59" t="s">
        <v>12</v>
      </c>
      <c r="D482" s="3">
        <f t="shared" si="200"/>
        <v>21943.22</v>
      </c>
      <c r="E482" s="3">
        <f>E487+E492</f>
        <v>0</v>
      </c>
      <c r="F482" s="3">
        <f t="shared" ref="F482:O482" si="211">F487+F492</f>
        <v>0</v>
      </c>
      <c r="G482" s="3">
        <f t="shared" si="211"/>
        <v>0</v>
      </c>
      <c r="H482" s="3">
        <f t="shared" si="211"/>
        <v>0</v>
      </c>
      <c r="I482" s="3">
        <f t="shared" si="211"/>
        <v>0</v>
      </c>
      <c r="J482" s="3">
        <f t="shared" si="211"/>
        <v>15238.7</v>
      </c>
      <c r="K482" s="3">
        <f>K487+K492+K497</f>
        <v>6704.52</v>
      </c>
      <c r="L482" s="3">
        <f t="shared" si="211"/>
        <v>0</v>
      </c>
      <c r="M482" s="3">
        <f t="shared" si="211"/>
        <v>0</v>
      </c>
      <c r="N482" s="3">
        <f t="shared" si="211"/>
        <v>0</v>
      </c>
      <c r="O482" s="3">
        <f t="shared" si="211"/>
        <v>0</v>
      </c>
    </row>
    <row r="483" spans="1:15" ht="15.75" x14ac:dyDescent="0.2">
      <c r="A483" s="108"/>
      <c r="B483" s="132"/>
      <c r="C483" s="59" t="s">
        <v>13</v>
      </c>
      <c r="D483" s="3">
        <f t="shared" si="200"/>
        <v>0</v>
      </c>
      <c r="E483" s="3">
        <f>E488+E493</f>
        <v>0</v>
      </c>
      <c r="F483" s="3">
        <f t="shared" ref="F483:O483" si="212">F488+F493</f>
        <v>0</v>
      </c>
      <c r="G483" s="3">
        <f t="shared" si="212"/>
        <v>0</v>
      </c>
      <c r="H483" s="3">
        <f t="shared" si="212"/>
        <v>0</v>
      </c>
      <c r="I483" s="3">
        <f t="shared" si="212"/>
        <v>0</v>
      </c>
      <c r="J483" s="3">
        <f t="shared" si="212"/>
        <v>0</v>
      </c>
      <c r="K483" s="3">
        <f t="shared" si="212"/>
        <v>0</v>
      </c>
      <c r="L483" s="3">
        <f t="shared" si="212"/>
        <v>0</v>
      </c>
      <c r="M483" s="3">
        <f t="shared" si="212"/>
        <v>0</v>
      </c>
      <c r="N483" s="3">
        <f t="shared" si="212"/>
        <v>0</v>
      </c>
      <c r="O483" s="3">
        <f t="shared" si="212"/>
        <v>0</v>
      </c>
    </row>
    <row r="484" spans="1:15" ht="29.25" customHeight="1" x14ac:dyDescent="0.2">
      <c r="A484" s="108" t="s">
        <v>332</v>
      </c>
      <c r="B484" s="103" t="s">
        <v>399</v>
      </c>
      <c r="C484" s="83" t="s">
        <v>7</v>
      </c>
      <c r="D484" s="1">
        <f t="shared" si="200"/>
        <v>420220.53</v>
      </c>
      <c r="E484" s="1">
        <f>E485+E486+E487+E488</f>
        <v>0</v>
      </c>
      <c r="F484" s="1">
        <f t="shared" ref="F484:O484" si="213">F485+F486+F487+F488</f>
        <v>0</v>
      </c>
      <c r="G484" s="1">
        <f t="shared" si="213"/>
        <v>0</v>
      </c>
      <c r="H484" s="1">
        <f t="shared" si="213"/>
        <v>0</v>
      </c>
      <c r="I484" s="1">
        <f t="shared" si="213"/>
        <v>0</v>
      </c>
      <c r="J484" s="1">
        <f t="shared" si="213"/>
        <v>208238.7</v>
      </c>
      <c r="K484" s="1">
        <f t="shared" si="213"/>
        <v>211981.83000000002</v>
      </c>
      <c r="L484" s="1">
        <f t="shared" si="213"/>
        <v>0</v>
      </c>
      <c r="M484" s="1">
        <f t="shared" si="213"/>
        <v>0</v>
      </c>
      <c r="N484" s="1">
        <f t="shared" si="213"/>
        <v>0</v>
      </c>
      <c r="O484" s="1">
        <f t="shared" si="213"/>
        <v>0</v>
      </c>
    </row>
    <row r="485" spans="1:15" ht="24" customHeight="1" x14ac:dyDescent="0.2">
      <c r="A485" s="108"/>
      <c r="B485" s="132"/>
      <c r="C485" s="59" t="s">
        <v>10</v>
      </c>
      <c r="D485" s="1">
        <f t="shared" si="200"/>
        <v>115023.2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115023.2</v>
      </c>
      <c r="L485" s="1">
        <v>0</v>
      </c>
      <c r="M485" s="1">
        <v>0</v>
      </c>
      <c r="N485" s="1">
        <v>0</v>
      </c>
      <c r="O485" s="1">
        <v>0</v>
      </c>
    </row>
    <row r="486" spans="1:15" ht="24" customHeight="1" x14ac:dyDescent="0.2">
      <c r="A486" s="108"/>
      <c r="B486" s="132"/>
      <c r="C486" s="59" t="s">
        <v>11</v>
      </c>
      <c r="D486" s="1">
        <f t="shared" si="200"/>
        <v>287838.81</v>
      </c>
      <c r="E486" s="1">
        <v>0</v>
      </c>
      <c r="F486" s="1">
        <v>0</v>
      </c>
      <c r="G486" s="1">
        <v>0</v>
      </c>
      <c r="H486" s="1">
        <v>0</v>
      </c>
      <c r="I486" s="1">
        <v>0</v>
      </c>
      <c r="J486" s="1">
        <v>193000</v>
      </c>
      <c r="K486" s="1">
        <v>94838.81</v>
      </c>
      <c r="L486" s="1">
        <v>0</v>
      </c>
      <c r="M486" s="1">
        <v>0</v>
      </c>
      <c r="N486" s="1">
        <v>0</v>
      </c>
      <c r="O486" s="1">
        <v>0</v>
      </c>
    </row>
    <row r="487" spans="1:15" ht="20.25" customHeight="1" x14ac:dyDescent="0.2">
      <c r="A487" s="108"/>
      <c r="B487" s="132"/>
      <c r="C487" s="59" t="s">
        <v>12</v>
      </c>
      <c r="D487" s="1">
        <f t="shared" si="200"/>
        <v>17358.52</v>
      </c>
      <c r="E487" s="1">
        <v>0</v>
      </c>
      <c r="F487" s="1">
        <v>0</v>
      </c>
      <c r="G487" s="1">
        <v>0</v>
      </c>
      <c r="H487" s="1">
        <v>0</v>
      </c>
      <c r="I487" s="1">
        <v>0</v>
      </c>
      <c r="J487" s="1">
        <f>12319.1+2918+1.6</f>
        <v>15238.7</v>
      </c>
      <c r="K487" s="1">
        <v>2119.8200000000002</v>
      </c>
      <c r="L487" s="1">
        <v>0</v>
      </c>
      <c r="M487" s="1">
        <v>0</v>
      </c>
      <c r="N487" s="1">
        <v>0</v>
      </c>
      <c r="O487" s="1">
        <v>0</v>
      </c>
    </row>
    <row r="488" spans="1:15" ht="30.75" customHeight="1" x14ac:dyDescent="0.2">
      <c r="A488" s="108"/>
      <c r="B488" s="132"/>
      <c r="C488" s="59" t="s">
        <v>13</v>
      </c>
      <c r="D488" s="1">
        <f t="shared" si="200"/>
        <v>0</v>
      </c>
      <c r="E488" s="1">
        <v>0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</row>
    <row r="489" spans="1:15" ht="25.5" customHeight="1" x14ac:dyDescent="0.2">
      <c r="A489" s="97" t="s">
        <v>376</v>
      </c>
      <c r="B489" s="103" t="s">
        <v>422</v>
      </c>
      <c r="C489" s="83" t="s">
        <v>7</v>
      </c>
      <c r="D489" s="1">
        <f>E489+F489+G489+H489+I489+J489+K489+L489+M489+N489+O489</f>
        <v>4584.7</v>
      </c>
      <c r="E489" s="1">
        <f>E490+E491+E492+E493</f>
        <v>0</v>
      </c>
      <c r="F489" s="1">
        <f t="shared" ref="F489:O489" si="214">F490+F491+F492+F493</f>
        <v>0</v>
      </c>
      <c r="G489" s="1">
        <f t="shared" si="214"/>
        <v>0</v>
      </c>
      <c r="H489" s="1">
        <f t="shared" si="214"/>
        <v>0</v>
      </c>
      <c r="I489" s="1">
        <f t="shared" si="214"/>
        <v>0</v>
      </c>
      <c r="J489" s="1">
        <f t="shared" si="214"/>
        <v>0</v>
      </c>
      <c r="K489" s="1">
        <f t="shared" si="214"/>
        <v>4584.7</v>
      </c>
      <c r="L489" s="1">
        <f t="shared" si="214"/>
        <v>0</v>
      </c>
      <c r="M489" s="1">
        <f t="shared" si="214"/>
        <v>0</v>
      </c>
      <c r="N489" s="1">
        <f t="shared" si="214"/>
        <v>0</v>
      </c>
      <c r="O489" s="1">
        <f t="shared" si="214"/>
        <v>0</v>
      </c>
    </row>
    <row r="490" spans="1:15" ht="25.5" customHeight="1" x14ac:dyDescent="0.2">
      <c r="A490" s="98"/>
      <c r="B490" s="132"/>
      <c r="C490" s="59" t="s">
        <v>10</v>
      </c>
      <c r="D490" s="1">
        <f t="shared" ref="D490:D498" si="215">E490+F490+G490+H490+I490+J490+K490+L490+M490+N490+O490</f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</row>
    <row r="491" spans="1:15" ht="25.5" customHeight="1" x14ac:dyDescent="0.2">
      <c r="A491" s="98"/>
      <c r="B491" s="132"/>
      <c r="C491" s="59" t="s">
        <v>11</v>
      </c>
      <c r="D491" s="1">
        <f t="shared" si="215"/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</row>
    <row r="492" spans="1:15" ht="25.5" customHeight="1" x14ac:dyDescent="0.2">
      <c r="A492" s="98"/>
      <c r="B492" s="132"/>
      <c r="C492" s="59" t="s">
        <v>12</v>
      </c>
      <c r="D492" s="1">
        <f t="shared" si="215"/>
        <v>4584.7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f>4584.7</f>
        <v>4584.7</v>
      </c>
      <c r="L492" s="1">
        <v>0</v>
      </c>
      <c r="M492" s="1">
        <v>0</v>
      </c>
      <c r="N492" s="1">
        <v>0</v>
      </c>
      <c r="O492" s="1">
        <v>0</v>
      </c>
    </row>
    <row r="493" spans="1:15" ht="25.5" customHeight="1" x14ac:dyDescent="0.2">
      <c r="A493" s="99"/>
      <c r="B493" s="132"/>
      <c r="C493" s="59" t="s">
        <v>13</v>
      </c>
      <c r="D493" s="1">
        <f t="shared" si="215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</row>
    <row r="494" spans="1:15" ht="25.5" hidden="1" customHeight="1" x14ac:dyDescent="0.2">
      <c r="A494" s="97"/>
      <c r="B494" s="103" t="s">
        <v>400</v>
      </c>
      <c r="C494" s="83" t="s">
        <v>7</v>
      </c>
      <c r="D494" s="1">
        <f>E494+F494+G494+H494+I494+J494+K494+L494+M494+N494+O494</f>
        <v>0</v>
      </c>
      <c r="E494" s="1">
        <f>E495+E496+E497+E498</f>
        <v>0</v>
      </c>
      <c r="F494" s="1">
        <f t="shared" ref="F494:O494" si="216">F495+F496+F497+F498</f>
        <v>0</v>
      </c>
      <c r="G494" s="1">
        <f t="shared" si="216"/>
        <v>0</v>
      </c>
      <c r="H494" s="1">
        <f t="shared" si="216"/>
        <v>0</v>
      </c>
      <c r="I494" s="1">
        <f t="shared" si="216"/>
        <v>0</v>
      </c>
      <c r="J494" s="1">
        <f t="shared" si="216"/>
        <v>0</v>
      </c>
      <c r="K494" s="1">
        <f t="shared" si="216"/>
        <v>0</v>
      </c>
      <c r="L494" s="1">
        <f t="shared" si="216"/>
        <v>0</v>
      </c>
      <c r="M494" s="1">
        <f t="shared" si="216"/>
        <v>0</v>
      </c>
      <c r="N494" s="1">
        <f t="shared" si="216"/>
        <v>0</v>
      </c>
      <c r="O494" s="1">
        <f t="shared" si="216"/>
        <v>0</v>
      </c>
    </row>
    <row r="495" spans="1:15" ht="25.5" hidden="1" customHeight="1" x14ac:dyDescent="0.2">
      <c r="A495" s="98"/>
      <c r="B495" s="132"/>
      <c r="C495" s="59" t="s">
        <v>10</v>
      </c>
      <c r="D495" s="1">
        <f t="shared" si="215"/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</row>
    <row r="496" spans="1:15" ht="25.5" hidden="1" customHeight="1" x14ac:dyDescent="0.2">
      <c r="A496" s="98"/>
      <c r="B496" s="132"/>
      <c r="C496" s="59" t="s">
        <v>11</v>
      </c>
      <c r="D496" s="1">
        <f t="shared" si="215"/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</row>
    <row r="497" spans="1:23" ht="25.5" hidden="1" customHeight="1" x14ac:dyDescent="0.2">
      <c r="A497" s="98"/>
      <c r="B497" s="132"/>
      <c r="C497" s="59" t="s">
        <v>12</v>
      </c>
      <c r="D497" s="1">
        <f t="shared" si="215"/>
        <v>0</v>
      </c>
      <c r="E497" s="1">
        <v>0</v>
      </c>
      <c r="F497" s="1">
        <v>0</v>
      </c>
      <c r="G497" s="1">
        <v>0</v>
      </c>
      <c r="H497" s="1">
        <v>0</v>
      </c>
      <c r="I497" s="1">
        <v>0</v>
      </c>
      <c r="J497" s="1">
        <v>0</v>
      </c>
      <c r="K497" s="1">
        <f>1800-1800</f>
        <v>0</v>
      </c>
      <c r="L497" s="1">
        <v>0</v>
      </c>
      <c r="M497" s="1">
        <v>0</v>
      </c>
      <c r="N497" s="1">
        <v>0</v>
      </c>
      <c r="O497" s="1">
        <v>0</v>
      </c>
    </row>
    <row r="498" spans="1:23" ht="23.25" hidden="1" customHeight="1" x14ac:dyDescent="0.2">
      <c r="A498" s="99"/>
      <c r="B498" s="132"/>
      <c r="C498" s="59" t="s">
        <v>13</v>
      </c>
      <c r="D498" s="1">
        <f t="shared" si="215"/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</row>
    <row r="499" spans="1:23" ht="15.75" x14ac:dyDescent="0.2">
      <c r="A499" s="108" t="s">
        <v>317</v>
      </c>
      <c r="B499" s="103" t="s">
        <v>370</v>
      </c>
      <c r="C499" s="83" t="s">
        <v>7</v>
      </c>
      <c r="D499" s="3">
        <f t="shared" si="200"/>
        <v>71929.2</v>
      </c>
      <c r="E499" s="3">
        <f t="shared" ref="E499:O499" si="217">E500+E501+E503+E505</f>
        <v>0</v>
      </c>
      <c r="F499" s="3">
        <f t="shared" si="217"/>
        <v>0</v>
      </c>
      <c r="G499" s="3">
        <f t="shared" si="217"/>
        <v>0</v>
      </c>
      <c r="H499" s="3">
        <f t="shared" si="217"/>
        <v>0</v>
      </c>
      <c r="I499" s="3">
        <f t="shared" si="217"/>
        <v>0</v>
      </c>
      <c r="J499" s="3">
        <f t="shared" si="217"/>
        <v>0</v>
      </c>
      <c r="K499" s="3">
        <f t="shared" si="217"/>
        <v>25529.200000000001</v>
      </c>
      <c r="L499" s="3">
        <f t="shared" si="217"/>
        <v>23200</v>
      </c>
      <c r="M499" s="3">
        <f t="shared" si="217"/>
        <v>23200</v>
      </c>
      <c r="N499" s="3">
        <f t="shared" si="217"/>
        <v>0</v>
      </c>
      <c r="O499" s="3">
        <f t="shared" si="217"/>
        <v>0</v>
      </c>
    </row>
    <row r="500" spans="1:23" ht="15.75" x14ac:dyDescent="0.2">
      <c r="A500" s="108"/>
      <c r="B500" s="132"/>
      <c r="C500" s="59" t="s">
        <v>10</v>
      </c>
      <c r="D500" s="3">
        <f t="shared" si="200"/>
        <v>0</v>
      </c>
      <c r="E500" s="3">
        <f>E507+E512</f>
        <v>0</v>
      </c>
      <c r="F500" s="3">
        <f t="shared" ref="F500:O500" si="218">F507+F512</f>
        <v>0</v>
      </c>
      <c r="G500" s="3">
        <f t="shared" si="218"/>
        <v>0</v>
      </c>
      <c r="H500" s="3">
        <f t="shared" si="218"/>
        <v>0</v>
      </c>
      <c r="I500" s="3">
        <f t="shared" si="218"/>
        <v>0</v>
      </c>
      <c r="J500" s="3">
        <f t="shared" si="218"/>
        <v>0</v>
      </c>
      <c r="K500" s="3">
        <f t="shared" si="218"/>
        <v>0</v>
      </c>
      <c r="L500" s="3">
        <f t="shared" si="218"/>
        <v>0</v>
      </c>
      <c r="M500" s="3">
        <f t="shared" si="218"/>
        <v>0</v>
      </c>
      <c r="N500" s="3">
        <f t="shared" si="218"/>
        <v>0</v>
      </c>
      <c r="O500" s="3">
        <f t="shared" si="218"/>
        <v>0</v>
      </c>
    </row>
    <row r="501" spans="1:23" ht="31.5" x14ac:dyDescent="0.2">
      <c r="A501" s="108"/>
      <c r="B501" s="132"/>
      <c r="C501" s="59" t="s">
        <v>69</v>
      </c>
      <c r="D501" s="3">
        <f t="shared" si="200"/>
        <v>67613.399999999994</v>
      </c>
      <c r="E501" s="3">
        <f>E508+E513</f>
        <v>0</v>
      </c>
      <c r="F501" s="3">
        <f t="shared" ref="F501:O501" si="219">F508+F513</f>
        <v>0</v>
      </c>
      <c r="G501" s="3">
        <f t="shared" si="219"/>
        <v>0</v>
      </c>
      <c r="H501" s="3">
        <f t="shared" si="219"/>
        <v>0</v>
      </c>
      <c r="I501" s="3">
        <f t="shared" si="219"/>
        <v>0</v>
      </c>
      <c r="J501" s="3">
        <f t="shared" si="219"/>
        <v>0</v>
      </c>
      <c r="K501" s="3">
        <f t="shared" si="219"/>
        <v>23997.4</v>
      </c>
      <c r="L501" s="3">
        <f t="shared" si="219"/>
        <v>21808</v>
      </c>
      <c r="M501" s="3">
        <f t="shared" si="219"/>
        <v>21808</v>
      </c>
      <c r="N501" s="3">
        <f t="shared" si="219"/>
        <v>0</v>
      </c>
      <c r="O501" s="3">
        <f t="shared" si="219"/>
        <v>0</v>
      </c>
    </row>
    <row r="502" spans="1:23" ht="39.75" customHeight="1" x14ac:dyDescent="0.2">
      <c r="A502" s="108"/>
      <c r="B502" s="132"/>
      <c r="C502" s="74" t="s">
        <v>81</v>
      </c>
      <c r="D502" s="73">
        <f t="shared" si="200"/>
        <v>43616</v>
      </c>
      <c r="E502" s="73">
        <v>0</v>
      </c>
      <c r="F502" s="73">
        <v>0</v>
      </c>
      <c r="G502" s="73">
        <v>0</v>
      </c>
      <c r="H502" s="73">
        <v>0</v>
      </c>
      <c r="I502" s="73">
        <v>0</v>
      </c>
      <c r="J502" s="73">
        <v>0</v>
      </c>
      <c r="K502" s="73">
        <v>0</v>
      </c>
      <c r="L502" s="73">
        <v>21808</v>
      </c>
      <c r="M502" s="73">
        <v>21808</v>
      </c>
      <c r="N502" s="73">
        <v>0</v>
      </c>
      <c r="O502" s="73">
        <v>0</v>
      </c>
    </row>
    <row r="503" spans="1:23" ht="31.5" x14ac:dyDescent="0.2">
      <c r="A503" s="108"/>
      <c r="B503" s="132"/>
      <c r="C503" s="59" t="s">
        <v>65</v>
      </c>
      <c r="D503" s="3">
        <f t="shared" si="200"/>
        <v>4315.8</v>
      </c>
      <c r="E503" s="3">
        <f>E509+E515</f>
        <v>0</v>
      </c>
      <c r="F503" s="3">
        <f t="shared" ref="F503:O503" si="220">F509+F515</f>
        <v>0</v>
      </c>
      <c r="G503" s="3">
        <f t="shared" si="220"/>
        <v>0</v>
      </c>
      <c r="H503" s="3">
        <f t="shared" si="220"/>
        <v>0</v>
      </c>
      <c r="I503" s="3">
        <f t="shared" si="220"/>
        <v>0</v>
      </c>
      <c r="J503" s="3">
        <f t="shared" si="220"/>
        <v>0</v>
      </c>
      <c r="K503" s="3">
        <f t="shared" si="220"/>
        <v>1531.8</v>
      </c>
      <c r="L503" s="3">
        <f t="shared" si="220"/>
        <v>1392</v>
      </c>
      <c r="M503" s="3">
        <f t="shared" si="220"/>
        <v>1392</v>
      </c>
      <c r="N503" s="3">
        <f t="shared" si="220"/>
        <v>0</v>
      </c>
      <c r="O503" s="3">
        <f t="shared" si="220"/>
        <v>0</v>
      </c>
    </row>
    <row r="504" spans="1:23" ht="31.5" x14ac:dyDescent="0.2">
      <c r="A504" s="108"/>
      <c r="B504" s="132"/>
      <c r="C504" s="74" t="s">
        <v>449</v>
      </c>
      <c r="D504" s="73">
        <f t="shared" si="200"/>
        <v>2784</v>
      </c>
      <c r="E504" s="1">
        <v>0</v>
      </c>
      <c r="F504" s="1">
        <v>0</v>
      </c>
      <c r="G504" s="1">
        <v>0</v>
      </c>
      <c r="H504" s="1">
        <v>0</v>
      </c>
      <c r="I504" s="1">
        <v>0</v>
      </c>
      <c r="J504" s="1">
        <v>0</v>
      </c>
      <c r="K504" s="73">
        <v>0</v>
      </c>
      <c r="L504" s="73">
        <v>1392</v>
      </c>
      <c r="M504" s="73">
        <v>1392</v>
      </c>
      <c r="N504" s="73">
        <v>0</v>
      </c>
      <c r="O504" s="73">
        <v>0</v>
      </c>
    </row>
    <row r="505" spans="1:23" ht="32.25" customHeight="1" x14ac:dyDescent="0.2">
      <c r="A505" s="108"/>
      <c r="B505" s="132"/>
      <c r="C505" s="59" t="s">
        <v>13</v>
      </c>
      <c r="D505" s="3">
        <f t="shared" si="200"/>
        <v>0</v>
      </c>
      <c r="E505" s="3">
        <f>E510+E517</f>
        <v>0</v>
      </c>
      <c r="F505" s="3">
        <f t="shared" ref="F505:O505" si="221">F510+F517</f>
        <v>0</v>
      </c>
      <c r="G505" s="3">
        <f t="shared" si="221"/>
        <v>0</v>
      </c>
      <c r="H505" s="3">
        <f t="shared" si="221"/>
        <v>0</v>
      </c>
      <c r="I505" s="3">
        <f t="shared" si="221"/>
        <v>0</v>
      </c>
      <c r="J505" s="3">
        <f t="shared" si="221"/>
        <v>0</v>
      </c>
      <c r="K505" s="3">
        <f t="shared" si="221"/>
        <v>0</v>
      </c>
      <c r="L505" s="3">
        <f t="shared" si="221"/>
        <v>0</v>
      </c>
      <c r="M505" s="3">
        <f t="shared" si="221"/>
        <v>0</v>
      </c>
      <c r="N505" s="3">
        <f t="shared" si="221"/>
        <v>0</v>
      </c>
      <c r="O505" s="3">
        <f t="shared" si="221"/>
        <v>0</v>
      </c>
    </row>
    <row r="506" spans="1:23" ht="15.75" hidden="1" x14ac:dyDescent="0.2">
      <c r="A506" s="108" t="s">
        <v>333</v>
      </c>
      <c r="B506" s="103" t="s">
        <v>318</v>
      </c>
      <c r="C506" s="83" t="s">
        <v>7</v>
      </c>
      <c r="D506" s="1">
        <f t="shared" si="200"/>
        <v>0</v>
      </c>
      <c r="E506" s="1">
        <f t="shared" ref="E506:J506" si="222">E507+E508+E509+E510</f>
        <v>0</v>
      </c>
      <c r="F506" s="1">
        <f t="shared" si="222"/>
        <v>0</v>
      </c>
      <c r="G506" s="1">
        <f t="shared" si="222"/>
        <v>0</v>
      </c>
      <c r="H506" s="1">
        <f t="shared" si="222"/>
        <v>0</v>
      </c>
      <c r="I506" s="1">
        <f t="shared" si="222"/>
        <v>0</v>
      </c>
      <c r="J506" s="1">
        <f t="shared" si="222"/>
        <v>0</v>
      </c>
      <c r="K506" s="1">
        <f>K507+K508+K509+K510</f>
        <v>0</v>
      </c>
      <c r="L506" s="1">
        <f>L507+L508+L509+L510</f>
        <v>0</v>
      </c>
      <c r="M506" s="1">
        <f>M507+M508+M509+M510</f>
        <v>0</v>
      </c>
      <c r="N506" s="1">
        <f>N507+N508+N509+N510</f>
        <v>0</v>
      </c>
      <c r="O506" s="1">
        <f>O507+O508+O509+O510</f>
        <v>0</v>
      </c>
      <c r="W506" s="84"/>
    </row>
    <row r="507" spans="1:23" ht="15.75" hidden="1" x14ac:dyDescent="0.2">
      <c r="A507" s="108"/>
      <c r="B507" s="132"/>
      <c r="C507" s="59" t="s">
        <v>10</v>
      </c>
      <c r="D507" s="1">
        <f t="shared" si="200"/>
        <v>0</v>
      </c>
      <c r="E507" s="1">
        <v>0</v>
      </c>
      <c r="F507" s="1">
        <v>0</v>
      </c>
      <c r="G507" s="1">
        <v>0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  <c r="W507" s="84"/>
    </row>
    <row r="508" spans="1:23" ht="15.75" hidden="1" x14ac:dyDescent="0.2">
      <c r="A508" s="108"/>
      <c r="B508" s="132"/>
      <c r="C508" s="59" t="s">
        <v>11</v>
      </c>
      <c r="D508" s="1">
        <f t="shared" ref="D508:D543" si="223">E508+F508+G508+H508+I508+J508+K508+L508+M508+N508+O508</f>
        <v>0</v>
      </c>
      <c r="E508" s="1">
        <v>0</v>
      </c>
      <c r="F508" s="1">
        <v>0</v>
      </c>
      <c r="G508" s="1">
        <v>0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0</v>
      </c>
      <c r="W508" s="84"/>
    </row>
    <row r="509" spans="1:23" ht="15.75" hidden="1" x14ac:dyDescent="0.2">
      <c r="A509" s="108"/>
      <c r="B509" s="132"/>
      <c r="C509" s="59" t="s">
        <v>12</v>
      </c>
      <c r="D509" s="1">
        <f t="shared" si="223"/>
        <v>0</v>
      </c>
      <c r="E509" s="1">
        <v>0</v>
      </c>
      <c r="F509" s="1">
        <v>0</v>
      </c>
      <c r="G509" s="1">
        <v>0</v>
      </c>
      <c r="H509" s="1">
        <v>0</v>
      </c>
      <c r="I509" s="1">
        <v>0</v>
      </c>
      <c r="J509" s="1">
        <v>0</v>
      </c>
      <c r="K509" s="1">
        <v>0</v>
      </c>
      <c r="L509" s="1">
        <f>98.2-11-2.5-57.4-27.3</f>
        <v>0</v>
      </c>
      <c r="M509" s="1">
        <f>416.2-416.2</f>
        <v>0</v>
      </c>
      <c r="N509" s="1">
        <v>0</v>
      </c>
      <c r="O509" s="1">
        <v>0</v>
      </c>
      <c r="W509" s="84"/>
    </row>
    <row r="510" spans="1:23" ht="17.25" hidden="1" customHeight="1" x14ac:dyDescent="0.2">
      <c r="A510" s="108"/>
      <c r="B510" s="132"/>
      <c r="C510" s="59" t="s">
        <v>13</v>
      </c>
      <c r="D510" s="1">
        <f t="shared" si="223"/>
        <v>0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  <c r="W510" s="84"/>
    </row>
    <row r="511" spans="1:23" ht="17.25" customHeight="1" x14ac:dyDescent="0.2">
      <c r="A511" s="97" t="s">
        <v>333</v>
      </c>
      <c r="B511" s="97" t="s">
        <v>375</v>
      </c>
      <c r="C511" s="83" t="s">
        <v>7</v>
      </c>
      <c r="D511" s="1">
        <f>E511+F511+G511+H511+I511+J511+K511+L511+M511+N511+O511</f>
        <v>71929.2</v>
      </c>
      <c r="E511" s="1">
        <f t="shared" ref="E511:O511" si="224">E512+E513+E515+E517</f>
        <v>0</v>
      </c>
      <c r="F511" s="1">
        <f t="shared" si="224"/>
        <v>0</v>
      </c>
      <c r="G511" s="1">
        <f t="shared" si="224"/>
        <v>0</v>
      </c>
      <c r="H511" s="1">
        <f t="shared" si="224"/>
        <v>0</v>
      </c>
      <c r="I511" s="1">
        <f t="shared" si="224"/>
        <v>0</v>
      </c>
      <c r="J511" s="1">
        <f t="shared" si="224"/>
        <v>0</v>
      </c>
      <c r="K511" s="1">
        <f t="shared" si="224"/>
        <v>25529.200000000001</v>
      </c>
      <c r="L511" s="1">
        <f t="shared" si="224"/>
        <v>23200</v>
      </c>
      <c r="M511" s="1">
        <f t="shared" si="224"/>
        <v>23200</v>
      </c>
      <c r="N511" s="1">
        <f t="shared" si="224"/>
        <v>0</v>
      </c>
      <c r="O511" s="1">
        <f t="shared" si="224"/>
        <v>0</v>
      </c>
      <c r="W511" s="84"/>
    </row>
    <row r="512" spans="1:23" ht="17.25" customHeight="1" x14ac:dyDescent="0.2">
      <c r="A512" s="98"/>
      <c r="B512" s="98"/>
      <c r="C512" s="59" t="s">
        <v>10</v>
      </c>
      <c r="D512" s="1">
        <f t="shared" ref="D512:D517" si="225">E512+F512+G512+H512+I512+J512+K512+L512+M512+N512+O512</f>
        <v>0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  <c r="W512" s="84"/>
    </row>
    <row r="513" spans="1:23" ht="33.75" customHeight="1" x14ac:dyDescent="0.2">
      <c r="A513" s="98"/>
      <c r="B513" s="98"/>
      <c r="C513" s="59" t="s">
        <v>69</v>
      </c>
      <c r="D513" s="1">
        <f t="shared" si="225"/>
        <v>67613.399999999994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1">
        <v>23997.4</v>
      </c>
      <c r="L513" s="1">
        <v>21808</v>
      </c>
      <c r="M513" s="1">
        <v>21808</v>
      </c>
      <c r="N513" s="1">
        <v>0</v>
      </c>
      <c r="O513" s="1">
        <v>0</v>
      </c>
      <c r="W513" s="84"/>
    </row>
    <row r="514" spans="1:23" ht="33.75" customHeight="1" x14ac:dyDescent="0.2">
      <c r="A514" s="98"/>
      <c r="B514" s="98"/>
      <c r="C514" s="74" t="s">
        <v>81</v>
      </c>
      <c r="D514" s="73">
        <f t="shared" si="225"/>
        <v>43616</v>
      </c>
      <c r="E514" s="73">
        <v>0</v>
      </c>
      <c r="F514" s="73">
        <v>0</v>
      </c>
      <c r="G514" s="73">
        <v>0</v>
      </c>
      <c r="H514" s="73">
        <v>0</v>
      </c>
      <c r="I514" s="73">
        <v>0</v>
      </c>
      <c r="J514" s="73">
        <v>0</v>
      </c>
      <c r="K514" s="73">
        <v>0</v>
      </c>
      <c r="L514" s="73">
        <v>21808</v>
      </c>
      <c r="M514" s="73">
        <v>21808</v>
      </c>
      <c r="N514" s="73">
        <v>0</v>
      </c>
      <c r="O514" s="73">
        <v>0</v>
      </c>
      <c r="W514" s="84"/>
    </row>
    <row r="515" spans="1:23" ht="30.75" customHeight="1" x14ac:dyDescent="0.2">
      <c r="A515" s="98"/>
      <c r="B515" s="98"/>
      <c r="C515" s="59" t="s">
        <v>65</v>
      </c>
      <c r="D515" s="1">
        <f t="shared" si="225"/>
        <v>4315.8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f>1531.8</f>
        <v>1531.8</v>
      </c>
      <c r="L515" s="1">
        <v>1392</v>
      </c>
      <c r="M515" s="1">
        <v>1392</v>
      </c>
      <c r="N515" s="1">
        <v>0</v>
      </c>
      <c r="O515" s="1">
        <v>0</v>
      </c>
      <c r="W515" s="84"/>
    </row>
    <row r="516" spans="1:23" s="84" customFormat="1" ht="36" customHeight="1" x14ac:dyDescent="0.2">
      <c r="A516" s="98"/>
      <c r="B516" s="98"/>
      <c r="C516" s="74" t="s">
        <v>449</v>
      </c>
      <c r="D516" s="73">
        <f t="shared" si="225"/>
        <v>2784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73">
        <v>0</v>
      </c>
      <c r="L516" s="73">
        <v>1392</v>
      </c>
      <c r="M516" s="73">
        <v>1392</v>
      </c>
      <c r="N516" s="73">
        <v>0</v>
      </c>
      <c r="O516" s="73">
        <v>0</v>
      </c>
    </row>
    <row r="517" spans="1:23" ht="30" customHeight="1" x14ac:dyDescent="0.2">
      <c r="A517" s="99"/>
      <c r="B517" s="99"/>
      <c r="C517" s="59" t="s">
        <v>13</v>
      </c>
      <c r="D517" s="1">
        <f t="shared" si="225"/>
        <v>0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  <c r="W517" s="84"/>
    </row>
    <row r="518" spans="1:23" ht="15.75" customHeight="1" x14ac:dyDescent="0.2">
      <c r="A518" s="110" t="s">
        <v>33</v>
      </c>
      <c r="B518" s="141" t="s">
        <v>46</v>
      </c>
      <c r="C518" s="51" t="s">
        <v>7</v>
      </c>
      <c r="D518" s="2">
        <f t="shared" si="223"/>
        <v>33326.1</v>
      </c>
      <c r="E518" s="2">
        <f>E519+E520+E521+E522</f>
        <v>20400</v>
      </c>
      <c r="F518" s="2">
        <f t="shared" ref="F518:O518" si="226">F519+F520+F521+F522</f>
        <v>3430</v>
      </c>
      <c r="G518" s="2">
        <f t="shared" si="226"/>
        <v>2049.1999999999998</v>
      </c>
      <c r="H518" s="2">
        <f t="shared" si="226"/>
        <v>3688.6</v>
      </c>
      <c r="I518" s="2">
        <f t="shared" si="226"/>
        <v>2475</v>
      </c>
      <c r="J518" s="2">
        <f>J519+J520+J521+J522</f>
        <v>227.4</v>
      </c>
      <c r="K518" s="2">
        <f t="shared" si="226"/>
        <v>251</v>
      </c>
      <c r="L518" s="2">
        <f t="shared" si="226"/>
        <v>278.5</v>
      </c>
      <c r="M518" s="2">
        <f>M519+M520+M521+M522</f>
        <v>157.6</v>
      </c>
      <c r="N518" s="2">
        <f t="shared" si="226"/>
        <v>185.8</v>
      </c>
      <c r="O518" s="2">
        <f t="shared" si="226"/>
        <v>183</v>
      </c>
      <c r="P518" s="63"/>
      <c r="Q518" s="63"/>
      <c r="W518" s="84"/>
    </row>
    <row r="519" spans="1:23" ht="15.75" customHeight="1" x14ac:dyDescent="0.2">
      <c r="A519" s="110"/>
      <c r="B519" s="103"/>
      <c r="C519" s="51" t="s">
        <v>10</v>
      </c>
      <c r="D519" s="1">
        <f t="shared" si="223"/>
        <v>0</v>
      </c>
      <c r="E519" s="1">
        <f>E524</f>
        <v>0</v>
      </c>
      <c r="F519" s="1">
        <f t="shared" ref="F519:O519" si="227">F524</f>
        <v>0</v>
      </c>
      <c r="G519" s="1">
        <f t="shared" si="227"/>
        <v>0</v>
      </c>
      <c r="H519" s="1">
        <f t="shared" si="227"/>
        <v>0</v>
      </c>
      <c r="I519" s="1">
        <f t="shared" si="227"/>
        <v>0</v>
      </c>
      <c r="J519" s="1">
        <f t="shared" si="227"/>
        <v>0</v>
      </c>
      <c r="K519" s="1">
        <f t="shared" si="227"/>
        <v>0</v>
      </c>
      <c r="L519" s="1">
        <f t="shared" si="227"/>
        <v>0</v>
      </c>
      <c r="M519" s="1">
        <f t="shared" si="227"/>
        <v>0</v>
      </c>
      <c r="N519" s="1">
        <f t="shared" si="227"/>
        <v>0</v>
      </c>
      <c r="O519" s="1">
        <f t="shared" si="227"/>
        <v>0</v>
      </c>
      <c r="W519" s="84"/>
    </row>
    <row r="520" spans="1:23" ht="15.75" customHeight="1" x14ac:dyDescent="0.2">
      <c r="A520" s="110"/>
      <c r="B520" s="103"/>
      <c r="C520" s="51" t="s">
        <v>11</v>
      </c>
      <c r="D520" s="1">
        <f t="shared" si="223"/>
        <v>0</v>
      </c>
      <c r="E520" s="1">
        <f>E525</f>
        <v>0</v>
      </c>
      <c r="F520" s="1">
        <f t="shared" ref="F520:O520" si="228">F534</f>
        <v>0</v>
      </c>
      <c r="G520" s="1">
        <f t="shared" si="228"/>
        <v>0</v>
      </c>
      <c r="H520" s="1">
        <f t="shared" si="228"/>
        <v>0</v>
      </c>
      <c r="I520" s="1">
        <f t="shared" si="228"/>
        <v>0</v>
      </c>
      <c r="J520" s="1">
        <f t="shared" si="228"/>
        <v>0</v>
      </c>
      <c r="K520" s="1">
        <f t="shared" si="228"/>
        <v>0</v>
      </c>
      <c r="L520" s="1">
        <f t="shared" si="228"/>
        <v>0</v>
      </c>
      <c r="M520" s="1">
        <f t="shared" si="228"/>
        <v>0</v>
      </c>
      <c r="N520" s="1">
        <f t="shared" si="228"/>
        <v>0</v>
      </c>
      <c r="O520" s="1">
        <f t="shared" si="228"/>
        <v>0</v>
      </c>
    </row>
    <row r="521" spans="1:23" ht="15.75" customHeight="1" x14ac:dyDescent="0.2">
      <c r="A521" s="110"/>
      <c r="B521" s="103"/>
      <c r="C521" s="51" t="s">
        <v>12</v>
      </c>
      <c r="D521" s="1">
        <f t="shared" si="223"/>
        <v>3061.1000000000004</v>
      </c>
      <c r="E521" s="1">
        <f>E526</f>
        <v>400</v>
      </c>
      <c r="F521" s="1">
        <f>F526</f>
        <v>430</v>
      </c>
      <c r="G521" s="1">
        <f t="shared" ref="G521:O521" si="229">G526</f>
        <v>449.2</v>
      </c>
      <c r="H521" s="1">
        <f t="shared" si="229"/>
        <v>235</v>
      </c>
      <c r="I521" s="1">
        <f t="shared" si="229"/>
        <v>263.60000000000002</v>
      </c>
      <c r="J521" s="1">
        <f t="shared" si="229"/>
        <v>227.4</v>
      </c>
      <c r="K521" s="1">
        <f t="shared" si="229"/>
        <v>251</v>
      </c>
      <c r="L521" s="1">
        <f t="shared" si="229"/>
        <v>278.5</v>
      </c>
      <c r="M521" s="1">
        <f t="shared" si="229"/>
        <v>157.6</v>
      </c>
      <c r="N521" s="1">
        <f t="shared" si="229"/>
        <v>185.8</v>
      </c>
      <c r="O521" s="1">
        <f t="shared" si="229"/>
        <v>183</v>
      </c>
    </row>
    <row r="522" spans="1:23" ht="15.75" x14ac:dyDescent="0.2">
      <c r="A522" s="110"/>
      <c r="B522" s="103"/>
      <c r="C522" s="51" t="s">
        <v>13</v>
      </c>
      <c r="D522" s="1">
        <f t="shared" si="223"/>
        <v>30265</v>
      </c>
      <c r="E522" s="1">
        <f>E527</f>
        <v>20000</v>
      </c>
      <c r="F522" s="1">
        <f t="shared" ref="F522:O522" si="230">F527</f>
        <v>3000</v>
      </c>
      <c r="G522" s="1">
        <f t="shared" si="230"/>
        <v>1600</v>
      </c>
      <c r="H522" s="1">
        <f t="shared" si="230"/>
        <v>3453.6</v>
      </c>
      <c r="I522" s="1">
        <f t="shared" si="230"/>
        <v>2211.4</v>
      </c>
      <c r="J522" s="1">
        <f t="shared" si="230"/>
        <v>0</v>
      </c>
      <c r="K522" s="1">
        <f t="shared" si="230"/>
        <v>0</v>
      </c>
      <c r="L522" s="1">
        <f t="shared" si="230"/>
        <v>0</v>
      </c>
      <c r="M522" s="1">
        <f t="shared" si="230"/>
        <v>0</v>
      </c>
      <c r="N522" s="1">
        <f t="shared" si="230"/>
        <v>0</v>
      </c>
      <c r="O522" s="1">
        <f t="shared" si="230"/>
        <v>0</v>
      </c>
    </row>
    <row r="523" spans="1:23" ht="19.5" customHeight="1" x14ac:dyDescent="0.2">
      <c r="A523" s="108" t="s">
        <v>132</v>
      </c>
      <c r="B523" s="103" t="s">
        <v>119</v>
      </c>
      <c r="C523" s="51" t="s">
        <v>7</v>
      </c>
      <c r="D523" s="1">
        <f t="shared" si="223"/>
        <v>33326.1</v>
      </c>
      <c r="E523" s="1">
        <f t="shared" ref="E523:O523" si="231">E524+E525+E526+E527</f>
        <v>20400</v>
      </c>
      <c r="F523" s="1">
        <f t="shared" si="231"/>
        <v>3430</v>
      </c>
      <c r="G523" s="1">
        <f t="shared" si="231"/>
        <v>2049.1999999999998</v>
      </c>
      <c r="H523" s="1">
        <f t="shared" si="231"/>
        <v>3688.6</v>
      </c>
      <c r="I523" s="1">
        <f t="shared" si="231"/>
        <v>2475</v>
      </c>
      <c r="J523" s="1">
        <f t="shared" si="231"/>
        <v>227.4</v>
      </c>
      <c r="K523" s="1">
        <f t="shared" si="231"/>
        <v>251</v>
      </c>
      <c r="L523" s="1">
        <f t="shared" si="231"/>
        <v>278.5</v>
      </c>
      <c r="M523" s="1">
        <f t="shared" si="231"/>
        <v>157.6</v>
      </c>
      <c r="N523" s="1">
        <f t="shared" si="231"/>
        <v>185.8</v>
      </c>
      <c r="O523" s="1">
        <f t="shared" si="231"/>
        <v>183</v>
      </c>
    </row>
    <row r="524" spans="1:23" ht="23.25" customHeight="1" x14ac:dyDescent="0.2">
      <c r="A524" s="108"/>
      <c r="B524" s="103"/>
      <c r="C524" s="51" t="s">
        <v>10</v>
      </c>
      <c r="D524" s="1">
        <f t="shared" si="223"/>
        <v>0</v>
      </c>
      <c r="E524" s="1">
        <f t="shared" ref="E524:O524" si="232">E529+E534+E539</f>
        <v>0</v>
      </c>
      <c r="F524" s="1">
        <f t="shared" si="232"/>
        <v>0</v>
      </c>
      <c r="G524" s="1">
        <f t="shared" si="232"/>
        <v>0</v>
      </c>
      <c r="H524" s="1">
        <f t="shared" si="232"/>
        <v>0</v>
      </c>
      <c r="I524" s="1">
        <f t="shared" si="232"/>
        <v>0</v>
      </c>
      <c r="J524" s="1">
        <f t="shared" si="232"/>
        <v>0</v>
      </c>
      <c r="K524" s="1">
        <f t="shared" si="232"/>
        <v>0</v>
      </c>
      <c r="L524" s="1">
        <f t="shared" si="232"/>
        <v>0</v>
      </c>
      <c r="M524" s="1">
        <f t="shared" si="232"/>
        <v>0</v>
      </c>
      <c r="N524" s="1">
        <f t="shared" si="232"/>
        <v>0</v>
      </c>
      <c r="O524" s="1">
        <f t="shared" si="232"/>
        <v>0</v>
      </c>
    </row>
    <row r="525" spans="1:23" ht="23.25" customHeight="1" x14ac:dyDescent="0.2">
      <c r="A525" s="108"/>
      <c r="B525" s="103"/>
      <c r="C525" s="51" t="s">
        <v>11</v>
      </c>
      <c r="D525" s="1">
        <f t="shared" si="223"/>
        <v>0</v>
      </c>
      <c r="E525" s="1">
        <f t="shared" ref="E525:O525" si="233">E530+E535+E540</f>
        <v>0</v>
      </c>
      <c r="F525" s="1">
        <f t="shared" si="233"/>
        <v>0</v>
      </c>
      <c r="G525" s="1">
        <f t="shared" si="233"/>
        <v>0</v>
      </c>
      <c r="H525" s="1">
        <f t="shared" si="233"/>
        <v>0</v>
      </c>
      <c r="I525" s="1">
        <f t="shared" si="233"/>
        <v>0</v>
      </c>
      <c r="J525" s="1">
        <f t="shared" si="233"/>
        <v>0</v>
      </c>
      <c r="K525" s="1">
        <f t="shared" si="233"/>
        <v>0</v>
      </c>
      <c r="L525" s="1">
        <f t="shared" si="233"/>
        <v>0</v>
      </c>
      <c r="M525" s="1">
        <f t="shared" si="233"/>
        <v>0</v>
      </c>
      <c r="N525" s="1">
        <f t="shared" si="233"/>
        <v>0</v>
      </c>
      <c r="O525" s="1">
        <f t="shared" si="233"/>
        <v>0</v>
      </c>
    </row>
    <row r="526" spans="1:23" ht="23.25" customHeight="1" x14ac:dyDescent="0.2">
      <c r="A526" s="108"/>
      <c r="B526" s="103"/>
      <c r="C526" s="51" t="s">
        <v>12</v>
      </c>
      <c r="D526" s="1">
        <f t="shared" si="223"/>
        <v>3061.1000000000004</v>
      </c>
      <c r="E526" s="1">
        <f t="shared" ref="E526:O526" si="234">E531+E536+E541</f>
        <v>400</v>
      </c>
      <c r="F526" s="1">
        <f t="shared" si="234"/>
        <v>430</v>
      </c>
      <c r="G526" s="1">
        <f t="shared" si="234"/>
        <v>449.2</v>
      </c>
      <c r="H526" s="1">
        <f t="shared" si="234"/>
        <v>235</v>
      </c>
      <c r="I526" s="1">
        <f>I531+I536+I541</f>
        <v>263.60000000000002</v>
      </c>
      <c r="J526" s="1">
        <f t="shared" si="234"/>
        <v>227.4</v>
      </c>
      <c r="K526" s="1">
        <f t="shared" si="234"/>
        <v>251</v>
      </c>
      <c r="L526" s="1">
        <f t="shared" si="234"/>
        <v>278.5</v>
      </c>
      <c r="M526" s="1">
        <f t="shared" si="234"/>
        <v>157.6</v>
      </c>
      <c r="N526" s="1">
        <f t="shared" si="234"/>
        <v>185.8</v>
      </c>
      <c r="O526" s="1">
        <f t="shared" si="234"/>
        <v>183</v>
      </c>
    </row>
    <row r="527" spans="1:23" ht="23.25" customHeight="1" x14ac:dyDescent="0.2">
      <c r="A527" s="108"/>
      <c r="B527" s="103"/>
      <c r="C527" s="51" t="s">
        <v>13</v>
      </c>
      <c r="D527" s="1">
        <f t="shared" si="223"/>
        <v>30265</v>
      </c>
      <c r="E527" s="1">
        <f t="shared" ref="E527:O527" si="235">E532+E537+E542</f>
        <v>20000</v>
      </c>
      <c r="F527" s="1">
        <f t="shared" si="235"/>
        <v>3000</v>
      </c>
      <c r="G527" s="1">
        <f t="shared" si="235"/>
        <v>1600</v>
      </c>
      <c r="H527" s="1">
        <f t="shared" si="235"/>
        <v>3453.6</v>
      </c>
      <c r="I527" s="1">
        <f t="shared" si="235"/>
        <v>2211.4</v>
      </c>
      <c r="J527" s="1">
        <f t="shared" si="235"/>
        <v>0</v>
      </c>
      <c r="K527" s="1">
        <f t="shared" si="235"/>
        <v>0</v>
      </c>
      <c r="L527" s="1">
        <f t="shared" si="235"/>
        <v>0</v>
      </c>
      <c r="M527" s="1">
        <f t="shared" si="235"/>
        <v>0</v>
      </c>
      <c r="N527" s="1">
        <f t="shared" si="235"/>
        <v>0</v>
      </c>
      <c r="O527" s="1">
        <f t="shared" si="235"/>
        <v>0</v>
      </c>
    </row>
    <row r="528" spans="1:23" ht="15.75" x14ac:dyDescent="0.2">
      <c r="A528" s="108" t="s">
        <v>120</v>
      </c>
      <c r="B528" s="103" t="s">
        <v>85</v>
      </c>
      <c r="C528" s="59" t="s">
        <v>7</v>
      </c>
      <c r="D528" s="1">
        <f t="shared" si="223"/>
        <v>3933.4</v>
      </c>
      <c r="E528" s="1">
        <f t="shared" ref="E528:J528" si="236">E529+E530+E531+E532</f>
        <v>0</v>
      </c>
      <c r="F528" s="1">
        <f t="shared" si="236"/>
        <v>0</v>
      </c>
      <c r="G528" s="1">
        <f t="shared" si="236"/>
        <v>0</v>
      </c>
      <c r="H528" s="1">
        <f t="shared" si="236"/>
        <v>2662</v>
      </c>
      <c r="I528" s="1">
        <f t="shared" si="236"/>
        <v>1271.4000000000001</v>
      </c>
      <c r="J528" s="1">
        <f t="shared" si="236"/>
        <v>0</v>
      </c>
      <c r="K528" s="1">
        <f>K529+K530+K531+K532</f>
        <v>0</v>
      </c>
      <c r="L528" s="1">
        <f>L529+L530+L531+L532</f>
        <v>0</v>
      </c>
      <c r="M528" s="1">
        <f>M529+M530+M531+M532</f>
        <v>0</v>
      </c>
      <c r="N528" s="1">
        <f>N529+N530+N531+N532</f>
        <v>0</v>
      </c>
      <c r="O528" s="1">
        <f>O529+O530+O531+O532</f>
        <v>0</v>
      </c>
    </row>
    <row r="529" spans="1:17" ht="15.75" customHeight="1" x14ac:dyDescent="0.2">
      <c r="A529" s="108"/>
      <c r="B529" s="103"/>
      <c r="C529" s="59" t="s">
        <v>10</v>
      </c>
      <c r="D529" s="1">
        <f t="shared" si="223"/>
        <v>0</v>
      </c>
      <c r="E529" s="1">
        <v>0</v>
      </c>
      <c r="F529" s="1">
        <v>0</v>
      </c>
      <c r="G529" s="1">
        <v>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1">
        <v>0</v>
      </c>
    </row>
    <row r="530" spans="1:17" ht="15.75" customHeight="1" x14ac:dyDescent="0.2">
      <c r="A530" s="108"/>
      <c r="B530" s="103"/>
      <c r="C530" s="59" t="s">
        <v>11</v>
      </c>
      <c r="D530" s="1">
        <f t="shared" si="223"/>
        <v>0</v>
      </c>
      <c r="E530" s="1">
        <v>0</v>
      </c>
      <c r="F530" s="1">
        <v>0</v>
      </c>
      <c r="G530" s="1">
        <v>0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1">
        <v>0</v>
      </c>
    </row>
    <row r="531" spans="1:17" ht="15.75" customHeight="1" x14ac:dyDescent="0.2">
      <c r="A531" s="108"/>
      <c r="B531" s="103"/>
      <c r="C531" s="59" t="s">
        <v>12</v>
      </c>
      <c r="D531" s="1">
        <f t="shared" si="223"/>
        <v>0</v>
      </c>
      <c r="E531" s="1">
        <v>0</v>
      </c>
      <c r="F531" s="1">
        <v>0</v>
      </c>
      <c r="G531" s="1">
        <v>0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v>0</v>
      </c>
      <c r="O531" s="1">
        <v>0</v>
      </c>
    </row>
    <row r="532" spans="1:17" ht="15.75" x14ac:dyDescent="0.2">
      <c r="A532" s="108"/>
      <c r="B532" s="103"/>
      <c r="C532" s="59" t="s">
        <v>13</v>
      </c>
      <c r="D532" s="1">
        <f t="shared" si="223"/>
        <v>3933.4</v>
      </c>
      <c r="E532" s="1">
        <v>0</v>
      </c>
      <c r="F532" s="1">
        <v>0</v>
      </c>
      <c r="G532" s="1">
        <v>0</v>
      </c>
      <c r="H532" s="1">
        <v>2662</v>
      </c>
      <c r="I532" s="1">
        <f>837+48.7+385.7</f>
        <v>1271.4000000000001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1">
        <v>0</v>
      </c>
    </row>
    <row r="533" spans="1:17" ht="15.75" x14ac:dyDescent="0.2">
      <c r="A533" s="108" t="s">
        <v>121</v>
      </c>
      <c r="B533" s="103" t="s">
        <v>32</v>
      </c>
      <c r="C533" s="59" t="s">
        <v>7</v>
      </c>
      <c r="D533" s="1">
        <f t="shared" si="223"/>
        <v>3061.1000000000004</v>
      </c>
      <c r="E533" s="1">
        <f t="shared" ref="E533:J533" si="237">E534+E535+E536+E537</f>
        <v>400</v>
      </c>
      <c r="F533" s="1">
        <f t="shared" si="237"/>
        <v>430</v>
      </c>
      <c r="G533" s="1">
        <f t="shared" si="237"/>
        <v>449.2</v>
      </c>
      <c r="H533" s="1">
        <f t="shared" si="237"/>
        <v>235</v>
      </c>
      <c r="I533" s="1">
        <f t="shared" si="237"/>
        <v>263.60000000000002</v>
      </c>
      <c r="J533" s="1">
        <f t="shared" si="237"/>
        <v>227.4</v>
      </c>
      <c r="K533" s="1">
        <f>K534+K535+K536+K537</f>
        <v>251</v>
      </c>
      <c r="L533" s="1">
        <f>L534+L535+L536+L537</f>
        <v>278.5</v>
      </c>
      <c r="M533" s="1">
        <f>M534+M535+M536+M537</f>
        <v>157.6</v>
      </c>
      <c r="N533" s="1">
        <f>N534+N535+N536+N537</f>
        <v>185.8</v>
      </c>
      <c r="O533" s="1">
        <f>O534+O535+O536+O537</f>
        <v>183</v>
      </c>
    </row>
    <row r="534" spans="1:17" ht="15.75" x14ac:dyDescent="0.2">
      <c r="A534" s="108"/>
      <c r="B534" s="103"/>
      <c r="C534" s="51" t="s">
        <v>10</v>
      </c>
      <c r="D534" s="1">
        <f t="shared" si="223"/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</row>
    <row r="535" spans="1:17" ht="15.75" x14ac:dyDescent="0.2">
      <c r="A535" s="108"/>
      <c r="B535" s="103"/>
      <c r="C535" s="51" t="s">
        <v>11</v>
      </c>
      <c r="D535" s="1">
        <f t="shared" si="223"/>
        <v>0</v>
      </c>
      <c r="E535" s="1">
        <v>0</v>
      </c>
      <c r="F535" s="1">
        <v>0</v>
      </c>
      <c r="G535" s="1">
        <v>0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</row>
    <row r="536" spans="1:17" ht="15.75" x14ac:dyDescent="0.2">
      <c r="A536" s="108"/>
      <c r="B536" s="103"/>
      <c r="C536" s="51" t="s">
        <v>12</v>
      </c>
      <c r="D536" s="1">
        <f t="shared" si="223"/>
        <v>3061.1000000000004</v>
      </c>
      <c r="E536" s="1">
        <v>400</v>
      </c>
      <c r="F536" s="1">
        <v>430</v>
      </c>
      <c r="G536" s="1">
        <v>449.2</v>
      </c>
      <c r="H536" s="1">
        <v>235</v>
      </c>
      <c r="I536" s="1">
        <f>251.9+11.7</f>
        <v>263.60000000000002</v>
      </c>
      <c r="J536" s="3">
        <f>278.5-51.1</f>
        <v>227.4</v>
      </c>
      <c r="K536" s="3">
        <f>278.5-27.5</f>
        <v>251</v>
      </c>
      <c r="L536" s="3">
        <f>157.5+121</f>
        <v>278.5</v>
      </c>
      <c r="M536" s="3">
        <f>167-9.4</f>
        <v>157.6</v>
      </c>
      <c r="N536" s="1">
        <f>167.8+18</f>
        <v>185.8</v>
      </c>
      <c r="O536" s="1">
        <f>170.3+12.7</f>
        <v>183</v>
      </c>
    </row>
    <row r="537" spans="1:17" ht="15.75" x14ac:dyDescent="0.2">
      <c r="A537" s="108"/>
      <c r="B537" s="103"/>
      <c r="C537" s="51" t="s">
        <v>13</v>
      </c>
      <c r="D537" s="1">
        <f t="shared" si="223"/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17" ht="15.75" x14ac:dyDescent="0.25">
      <c r="A538" s="108" t="s">
        <v>246</v>
      </c>
      <c r="B538" s="103" t="s">
        <v>57</v>
      </c>
      <c r="C538" s="85" t="s">
        <v>7</v>
      </c>
      <c r="D538" s="1">
        <f t="shared" si="223"/>
        <v>26331.599999999999</v>
      </c>
      <c r="E538" s="1">
        <f>E542+E541+E540</f>
        <v>20000</v>
      </c>
      <c r="F538" s="1">
        <f t="shared" ref="F538:O538" si="238">F539+F540+F541+F542</f>
        <v>3000</v>
      </c>
      <c r="G538" s="1">
        <f t="shared" si="238"/>
        <v>1600</v>
      </c>
      <c r="H538" s="1">
        <f t="shared" si="238"/>
        <v>791.6</v>
      </c>
      <c r="I538" s="1">
        <f t="shared" si="238"/>
        <v>940</v>
      </c>
      <c r="J538" s="1">
        <f t="shared" si="238"/>
        <v>0</v>
      </c>
      <c r="K538" s="1">
        <f t="shared" si="238"/>
        <v>0</v>
      </c>
      <c r="L538" s="1">
        <f t="shared" si="238"/>
        <v>0</v>
      </c>
      <c r="M538" s="1">
        <f t="shared" si="238"/>
        <v>0</v>
      </c>
      <c r="N538" s="1">
        <f t="shared" si="238"/>
        <v>0</v>
      </c>
      <c r="O538" s="1">
        <f t="shared" si="238"/>
        <v>0</v>
      </c>
    </row>
    <row r="539" spans="1:17" ht="15.75" x14ac:dyDescent="0.2">
      <c r="A539" s="108"/>
      <c r="B539" s="103"/>
      <c r="C539" s="51" t="s">
        <v>10</v>
      </c>
      <c r="D539" s="1">
        <f t="shared" si="223"/>
        <v>0</v>
      </c>
      <c r="E539" s="1">
        <v>0</v>
      </c>
      <c r="F539" s="1">
        <v>0</v>
      </c>
      <c r="G539" s="1">
        <v>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</row>
    <row r="540" spans="1:17" ht="15.75" x14ac:dyDescent="0.2">
      <c r="A540" s="108"/>
      <c r="B540" s="103"/>
      <c r="C540" s="51" t="s">
        <v>11</v>
      </c>
      <c r="D540" s="1">
        <f t="shared" si="223"/>
        <v>0</v>
      </c>
      <c r="E540" s="1">
        <v>0</v>
      </c>
      <c r="F540" s="1">
        <v>0</v>
      </c>
      <c r="G540" s="1">
        <v>0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">
        <v>0</v>
      </c>
    </row>
    <row r="541" spans="1:17" ht="15.75" x14ac:dyDescent="0.2">
      <c r="A541" s="108"/>
      <c r="B541" s="103"/>
      <c r="C541" s="51" t="s">
        <v>12</v>
      </c>
      <c r="D541" s="1">
        <f t="shared" si="223"/>
        <v>0</v>
      </c>
      <c r="E541" s="1">
        <v>0</v>
      </c>
      <c r="F541" s="1">
        <v>0</v>
      </c>
      <c r="G541" s="1">
        <v>0</v>
      </c>
      <c r="H541" s="1">
        <v>0</v>
      </c>
      <c r="I541" s="1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  <c r="O541" s="3">
        <v>0</v>
      </c>
    </row>
    <row r="542" spans="1:17" ht="15.75" x14ac:dyDescent="0.2">
      <c r="A542" s="108"/>
      <c r="B542" s="103"/>
      <c r="C542" s="51" t="s">
        <v>13</v>
      </c>
      <c r="D542" s="1">
        <f t="shared" si="223"/>
        <v>26331.599999999999</v>
      </c>
      <c r="E542" s="1">
        <v>20000</v>
      </c>
      <c r="F542" s="1">
        <v>3000</v>
      </c>
      <c r="G542" s="1">
        <v>1600</v>
      </c>
      <c r="H542" s="1">
        <v>791.6</v>
      </c>
      <c r="I542" s="1">
        <v>940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</row>
    <row r="543" spans="1:17" ht="15.75" x14ac:dyDescent="0.2">
      <c r="A543" s="110" t="s">
        <v>39</v>
      </c>
      <c r="B543" s="135" t="s">
        <v>331</v>
      </c>
      <c r="C543" s="75" t="s">
        <v>7</v>
      </c>
      <c r="D543" s="2">
        <f t="shared" si="223"/>
        <v>158397.30000000002</v>
      </c>
      <c r="E543" s="2">
        <f t="shared" ref="E543:O543" si="239">E545+E546+E547+E549</f>
        <v>13860</v>
      </c>
      <c r="F543" s="2">
        <f t="shared" si="239"/>
        <v>15421.9</v>
      </c>
      <c r="G543" s="2">
        <f t="shared" si="239"/>
        <v>19594</v>
      </c>
      <c r="H543" s="2">
        <f t="shared" si="239"/>
        <v>13152.1</v>
      </c>
      <c r="I543" s="2">
        <f t="shared" si="239"/>
        <v>23011</v>
      </c>
      <c r="J543" s="2">
        <f t="shared" si="239"/>
        <v>14576.6</v>
      </c>
      <c r="K543" s="2">
        <f t="shared" si="239"/>
        <v>18850.3</v>
      </c>
      <c r="L543" s="2">
        <f t="shared" si="239"/>
        <v>16460</v>
      </c>
      <c r="M543" s="2">
        <f t="shared" si="239"/>
        <v>7315.2999999999993</v>
      </c>
      <c r="N543" s="2">
        <f>N545+N546+N547+N549</f>
        <v>8138.1</v>
      </c>
      <c r="O543" s="2">
        <f t="shared" si="239"/>
        <v>8018</v>
      </c>
      <c r="P543" s="63"/>
      <c r="Q543" s="63"/>
    </row>
    <row r="544" spans="1:17" ht="50.25" customHeight="1" x14ac:dyDescent="0.2">
      <c r="A544" s="110"/>
      <c r="B544" s="136"/>
      <c r="C544" s="76" t="s">
        <v>64</v>
      </c>
      <c r="D544" s="73">
        <f t="shared" ref="D544:D549" si="240">E544+F544+G544+H544+I544+J544+K544+L544+M544+N544+O544</f>
        <v>1971.3999999999999</v>
      </c>
      <c r="E544" s="73">
        <f>E554</f>
        <v>752.3</v>
      </c>
      <c r="F544" s="73">
        <f t="shared" ref="F544:O544" si="241">F554</f>
        <v>0</v>
      </c>
      <c r="G544" s="73">
        <f t="shared" si="241"/>
        <v>1219.0999999999999</v>
      </c>
      <c r="H544" s="73">
        <f t="shared" si="241"/>
        <v>0</v>
      </c>
      <c r="I544" s="73">
        <f t="shared" si="241"/>
        <v>0</v>
      </c>
      <c r="J544" s="73">
        <f t="shared" si="241"/>
        <v>0</v>
      </c>
      <c r="K544" s="73">
        <f t="shared" si="241"/>
        <v>0</v>
      </c>
      <c r="L544" s="73">
        <f t="shared" si="241"/>
        <v>0</v>
      </c>
      <c r="M544" s="73">
        <f t="shared" si="241"/>
        <v>0</v>
      </c>
      <c r="N544" s="73">
        <f t="shared" si="241"/>
        <v>0</v>
      </c>
      <c r="O544" s="73">
        <f t="shared" si="241"/>
        <v>0</v>
      </c>
    </row>
    <row r="545" spans="1:24" ht="18.75" customHeight="1" x14ac:dyDescent="0.2">
      <c r="A545" s="110"/>
      <c r="B545" s="136"/>
      <c r="C545" s="51" t="s">
        <v>10</v>
      </c>
      <c r="D545" s="1">
        <f t="shared" si="240"/>
        <v>0</v>
      </c>
      <c r="E545" s="1">
        <f>E551+E568</f>
        <v>0</v>
      </c>
      <c r="F545" s="1">
        <f t="shared" ref="F545:O545" si="242">F551+F568</f>
        <v>0</v>
      </c>
      <c r="G545" s="1">
        <f t="shared" si="242"/>
        <v>0</v>
      </c>
      <c r="H545" s="1">
        <f t="shared" si="242"/>
        <v>0</v>
      </c>
      <c r="I545" s="1">
        <f t="shared" si="242"/>
        <v>0</v>
      </c>
      <c r="J545" s="1">
        <v>0</v>
      </c>
      <c r="K545" s="1">
        <f t="shared" si="242"/>
        <v>0</v>
      </c>
      <c r="L545" s="1">
        <f t="shared" si="242"/>
        <v>0</v>
      </c>
      <c r="M545" s="1">
        <f t="shared" si="242"/>
        <v>0</v>
      </c>
      <c r="N545" s="1">
        <f t="shared" si="242"/>
        <v>0</v>
      </c>
      <c r="O545" s="1">
        <f t="shared" si="242"/>
        <v>0</v>
      </c>
    </row>
    <row r="546" spans="1:24" ht="16.5" customHeight="1" x14ac:dyDescent="0.2">
      <c r="A546" s="110"/>
      <c r="B546" s="136"/>
      <c r="C546" s="51" t="s">
        <v>11</v>
      </c>
      <c r="D546" s="1">
        <f t="shared" si="240"/>
        <v>708.6</v>
      </c>
      <c r="E546" s="1">
        <f t="shared" ref="E546:O546" si="243">E552+E569</f>
        <v>0</v>
      </c>
      <c r="F546" s="1">
        <f t="shared" si="243"/>
        <v>0</v>
      </c>
      <c r="G546" s="1">
        <f t="shared" si="243"/>
        <v>0</v>
      </c>
      <c r="H546" s="1">
        <f t="shared" si="243"/>
        <v>0</v>
      </c>
      <c r="I546" s="1">
        <f t="shared" si="243"/>
        <v>0</v>
      </c>
      <c r="J546" s="1">
        <v>708.6</v>
      </c>
      <c r="K546" s="1">
        <f t="shared" si="243"/>
        <v>0</v>
      </c>
      <c r="L546" s="1">
        <f t="shared" si="243"/>
        <v>0</v>
      </c>
      <c r="M546" s="1">
        <f t="shared" si="243"/>
        <v>0</v>
      </c>
      <c r="N546" s="1">
        <f t="shared" si="243"/>
        <v>0</v>
      </c>
      <c r="O546" s="1">
        <f t="shared" si="243"/>
        <v>0</v>
      </c>
    </row>
    <row r="547" spans="1:24" ht="32.25" customHeight="1" x14ac:dyDescent="0.2">
      <c r="A547" s="110"/>
      <c r="B547" s="136"/>
      <c r="C547" s="51" t="s">
        <v>65</v>
      </c>
      <c r="D547" s="1">
        <f t="shared" si="240"/>
        <v>157688.69999999998</v>
      </c>
      <c r="E547" s="1">
        <f t="shared" ref="E547:O547" si="244">E553+E570</f>
        <v>13860</v>
      </c>
      <c r="F547" s="1">
        <f t="shared" si="244"/>
        <v>15421.9</v>
      </c>
      <c r="G547" s="1">
        <f t="shared" si="244"/>
        <v>19594</v>
      </c>
      <c r="H547" s="1">
        <f t="shared" si="244"/>
        <v>13152.1</v>
      </c>
      <c r="I547" s="1">
        <f t="shared" si="244"/>
        <v>23011</v>
      </c>
      <c r="J547" s="1">
        <f t="shared" si="244"/>
        <v>13868</v>
      </c>
      <c r="K547" s="1">
        <f t="shared" si="244"/>
        <v>18850.3</v>
      </c>
      <c r="L547" s="1">
        <f t="shared" si="244"/>
        <v>16460</v>
      </c>
      <c r="M547" s="1">
        <f t="shared" si="244"/>
        <v>7315.2999999999993</v>
      </c>
      <c r="N547" s="1">
        <f t="shared" si="244"/>
        <v>8138.1</v>
      </c>
      <c r="O547" s="1">
        <f t="shared" si="244"/>
        <v>8018</v>
      </c>
    </row>
    <row r="548" spans="1:24" ht="32.25" customHeight="1" x14ac:dyDescent="0.2">
      <c r="A548" s="110"/>
      <c r="B548" s="136"/>
      <c r="C548" s="76" t="s">
        <v>79</v>
      </c>
      <c r="D548" s="73">
        <f t="shared" si="240"/>
        <v>1971.3999999999999</v>
      </c>
      <c r="E548" s="73">
        <f>E554</f>
        <v>752.3</v>
      </c>
      <c r="F548" s="73">
        <f t="shared" ref="F548:O548" si="245">F554</f>
        <v>0</v>
      </c>
      <c r="G548" s="73">
        <f t="shared" si="245"/>
        <v>1219.0999999999999</v>
      </c>
      <c r="H548" s="73">
        <f t="shared" si="245"/>
        <v>0</v>
      </c>
      <c r="I548" s="73">
        <f t="shared" si="245"/>
        <v>0</v>
      </c>
      <c r="J548" s="73">
        <f t="shared" si="245"/>
        <v>0</v>
      </c>
      <c r="K548" s="73">
        <f t="shared" si="245"/>
        <v>0</v>
      </c>
      <c r="L548" s="73">
        <f t="shared" si="245"/>
        <v>0</v>
      </c>
      <c r="M548" s="73">
        <f t="shared" si="245"/>
        <v>0</v>
      </c>
      <c r="N548" s="73">
        <f t="shared" si="245"/>
        <v>0</v>
      </c>
      <c r="O548" s="73">
        <f t="shared" si="245"/>
        <v>0</v>
      </c>
    </row>
    <row r="549" spans="1:24" ht="15.75" x14ac:dyDescent="0.2">
      <c r="A549" s="110"/>
      <c r="B549" s="137"/>
      <c r="C549" s="51" t="s">
        <v>13</v>
      </c>
      <c r="D549" s="1">
        <f t="shared" si="240"/>
        <v>0</v>
      </c>
      <c r="E549" s="1">
        <f>E555+E567</f>
        <v>0</v>
      </c>
      <c r="F549" s="1">
        <f t="shared" ref="F549:O549" si="246">F555</f>
        <v>0</v>
      </c>
      <c r="G549" s="1">
        <f t="shared" si="246"/>
        <v>0</v>
      </c>
      <c r="H549" s="1">
        <f t="shared" si="246"/>
        <v>0</v>
      </c>
      <c r="I549" s="1">
        <f t="shared" si="246"/>
        <v>0</v>
      </c>
      <c r="J549" s="1">
        <f t="shared" si="246"/>
        <v>0</v>
      </c>
      <c r="K549" s="1">
        <f t="shared" si="246"/>
        <v>0</v>
      </c>
      <c r="L549" s="1">
        <f t="shared" si="246"/>
        <v>0</v>
      </c>
      <c r="M549" s="1">
        <f t="shared" si="246"/>
        <v>0</v>
      </c>
      <c r="N549" s="1">
        <f t="shared" si="246"/>
        <v>0</v>
      </c>
      <c r="O549" s="1">
        <f t="shared" si="246"/>
        <v>0</v>
      </c>
    </row>
    <row r="550" spans="1:24" ht="15.75" x14ac:dyDescent="0.2">
      <c r="A550" s="97" t="s">
        <v>353</v>
      </c>
      <c r="B550" s="108" t="s">
        <v>91</v>
      </c>
      <c r="C550" s="51" t="s">
        <v>7</v>
      </c>
      <c r="D550" s="1">
        <f t="shared" ref="D550:D590" si="247">E550+F550+G550+H550+I550+J550+K550+L550+M550+N550+O550</f>
        <v>157688.69999999998</v>
      </c>
      <c r="E550" s="1">
        <f t="shared" ref="E550:O550" si="248">E553+E551+E552+E555</f>
        <v>13860</v>
      </c>
      <c r="F550" s="1">
        <f t="shared" si="248"/>
        <v>15421.9</v>
      </c>
      <c r="G550" s="1">
        <f t="shared" si="248"/>
        <v>19594</v>
      </c>
      <c r="H550" s="1">
        <f t="shared" si="248"/>
        <v>13152.1</v>
      </c>
      <c r="I550" s="1">
        <f t="shared" si="248"/>
        <v>23011</v>
      </c>
      <c r="J550" s="1">
        <f t="shared" si="248"/>
        <v>13868</v>
      </c>
      <c r="K550" s="1">
        <f t="shared" si="248"/>
        <v>18850.3</v>
      </c>
      <c r="L550" s="1">
        <f t="shared" si="248"/>
        <v>16460</v>
      </c>
      <c r="M550" s="1">
        <f t="shared" si="248"/>
        <v>7315.2999999999993</v>
      </c>
      <c r="N550" s="1">
        <f t="shared" si="248"/>
        <v>8138.1</v>
      </c>
      <c r="O550" s="1">
        <f t="shared" si="248"/>
        <v>8018</v>
      </c>
    </row>
    <row r="551" spans="1:24" ht="15.75" x14ac:dyDescent="0.2">
      <c r="A551" s="130"/>
      <c r="B551" s="108"/>
      <c r="C551" s="51" t="s">
        <v>10</v>
      </c>
      <c r="D551" s="1">
        <f t="shared" si="247"/>
        <v>0</v>
      </c>
      <c r="E551" s="1">
        <f>E557+E563</f>
        <v>0</v>
      </c>
      <c r="F551" s="1">
        <f t="shared" ref="F551:O551" si="249">F557+F563</f>
        <v>0</v>
      </c>
      <c r="G551" s="1">
        <f t="shared" si="249"/>
        <v>0</v>
      </c>
      <c r="H551" s="1">
        <f t="shared" si="249"/>
        <v>0</v>
      </c>
      <c r="I551" s="1">
        <f t="shared" si="249"/>
        <v>0</v>
      </c>
      <c r="J551" s="1">
        <f t="shared" si="249"/>
        <v>0</v>
      </c>
      <c r="K551" s="1">
        <f t="shared" si="249"/>
        <v>0</v>
      </c>
      <c r="L551" s="1">
        <f t="shared" si="249"/>
        <v>0</v>
      </c>
      <c r="M551" s="1">
        <f t="shared" si="249"/>
        <v>0</v>
      </c>
      <c r="N551" s="1">
        <f t="shared" si="249"/>
        <v>0</v>
      </c>
      <c r="O551" s="1">
        <f t="shared" si="249"/>
        <v>0</v>
      </c>
    </row>
    <row r="552" spans="1:24" ht="15.75" x14ac:dyDescent="0.2">
      <c r="A552" s="130"/>
      <c r="B552" s="108"/>
      <c r="C552" s="51" t="s">
        <v>11</v>
      </c>
      <c r="D552" s="1">
        <f t="shared" si="247"/>
        <v>0</v>
      </c>
      <c r="E552" s="1">
        <f t="shared" ref="E552:O552" si="250">E558+E564</f>
        <v>0</v>
      </c>
      <c r="F552" s="1">
        <f t="shared" si="250"/>
        <v>0</v>
      </c>
      <c r="G552" s="1">
        <f t="shared" si="250"/>
        <v>0</v>
      </c>
      <c r="H552" s="1">
        <f t="shared" si="250"/>
        <v>0</v>
      </c>
      <c r="I552" s="1">
        <f t="shared" si="250"/>
        <v>0</v>
      </c>
      <c r="J552" s="1">
        <f t="shared" si="250"/>
        <v>0</v>
      </c>
      <c r="K552" s="1">
        <f t="shared" si="250"/>
        <v>0</v>
      </c>
      <c r="L552" s="1">
        <f t="shared" si="250"/>
        <v>0</v>
      </c>
      <c r="M552" s="1">
        <f t="shared" si="250"/>
        <v>0</v>
      </c>
      <c r="N552" s="1">
        <f t="shared" si="250"/>
        <v>0</v>
      </c>
      <c r="O552" s="1">
        <f t="shared" si="250"/>
        <v>0</v>
      </c>
    </row>
    <row r="553" spans="1:24" ht="31.5" customHeight="1" x14ac:dyDescent="0.2">
      <c r="A553" s="130"/>
      <c r="B553" s="108"/>
      <c r="C553" s="51" t="s">
        <v>65</v>
      </c>
      <c r="D553" s="1">
        <f t="shared" si="247"/>
        <v>157688.69999999998</v>
      </c>
      <c r="E553" s="1">
        <f>E559+E565</f>
        <v>13860</v>
      </c>
      <c r="F553" s="1">
        <f t="shared" ref="F553:O553" si="251">F559+F565</f>
        <v>15421.9</v>
      </c>
      <c r="G553" s="1">
        <f t="shared" si="251"/>
        <v>19594</v>
      </c>
      <c r="H553" s="1">
        <f t="shared" si="251"/>
        <v>13152.1</v>
      </c>
      <c r="I553" s="1">
        <f t="shared" si="251"/>
        <v>23011</v>
      </c>
      <c r="J553" s="1">
        <f>J559+J565</f>
        <v>13868</v>
      </c>
      <c r="K553" s="1">
        <f t="shared" si="251"/>
        <v>18850.3</v>
      </c>
      <c r="L553" s="1">
        <f t="shared" si="251"/>
        <v>16460</v>
      </c>
      <c r="M553" s="1">
        <f t="shared" si="251"/>
        <v>7315.2999999999993</v>
      </c>
      <c r="N553" s="1">
        <f t="shared" si="251"/>
        <v>8138.1</v>
      </c>
      <c r="O553" s="1">
        <f t="shared" si="251"/>
        <v>8018</v>
      </c>
    </row>
    <row r="554" spans="1:24" ht="33" customHeight="1" x14ac:dyDescent="0.2">
      <c r="A554" s="130"/>
      <c r="B554" s="108"/>
      <c r="C554" s="76" t="s">
        <v>79</v>
      </c>
      <c r="D554" s="1">
        <f t="shared" si="247"/>
        <v>1971.3999999999999</v>
      </c>
      <c r="E554" s="73">
        <f>E560</f>
        <v>752.3</v>
      </c>
      <c r="F554" s="73">
        <f t="shared" ref="F554:O554" si="252">F560</f>
        <v>0</v>
      </c>
      <c r="G554" s="73">
        <f t="shared" si="252"/>
        <v>1219.0999999999999</v>
      </c>
      <c r="H554" s="73">
        <f t="shared" si="252"/>
        <v>0</v>
      </c>
      <c r="I554" s="73">
        <f t="shared" si="252"/>
        <v>0</v>
      </c>
      <c r="J554" s="73">
        <f t="shared" si="252"/>
        <v>0</v>
      </c>
      <c r="K554" s="73">
        <f t="shared" si="252"/>
        <v>0</v>
      </c>
      <c r="L554" s="73">
        <f t="shared" si="252"/>
        <v>0</v>
      </c>
      <c r="M554" s="73">
        <f t="shared" si="252"/>
        <v>0</v>
      </c>
      <c r="N554" s="73">
        <f t="shared" si="252"/>
        <v>0</v>
      </c>
      <c r="O554" s="73">
        <f t="shared" si="252"/>
        <v>0</v>
      </c>
    </row>
    <row r="555" spans="1:24" ht="17.25" customHeight="1" x14ac:dyDescent="0.2">
      <c r="A555" s="131"/>
      <c r="B555" s="108"/>
      <c r="C555" s="51" t="s">
        <v>13</v>
      </c>
      <c r="D555" s="1">
        <f t="shared" si="247"/>
        <v>0</v>
      </c>
      <c r="E555" s="1">
        <f t="shared" ref="E555:O555" si="253">E561+E566</f>
        <v>0</v>
      </c>
      <c r="F555" s="1">
        <f t="shared" si="253"/>
        <v>0</v>
      </c>
      <c r="G555" s="1">
        <f t="shared" si="253"/>
        <v>0</v>
      </c>
      <c r="H555" s="1">
        <f t="shared" si="253"/>
        <v>0</v>
      </c>
      <c r="I555" s="1">
        <f t="shared" si="253"/>
        <v>0</v>
      </c>
      <c r="J555" s="1">
        <f t="shared" si="253"/>
        <v>0</v>
      </c>
      <c r="K555" s="1">
        <f t="shared" si="253"/>
        <v>0</v>
      </c>
      <c r="L555" s="1">
        <f t="shared" si="253"/>
        <v>0</v>
      </c>
      <c r="M555" s="1">
        <f t="shared" si="253"/>
        <v>0</v>
      </c>
      <c r="N555" s="1">
        <f t="shared" si="253"/>
        <v>0</v>
      </c>
      <c r="O555" s="1">
        <f t="shared" si="253"/>
        <v>0</v>
      </c>
    </row>
    <row r="556" spans="1:24" ht="17.25" customHeight="1" x14ac:dyDescent="0.2">
      <c r="A556" s="133" t="s">
        <v>133</v>
      </c>
      <c r="B556" s="103" t="s">
        <v>137</v>
      </c>
      <c r="C556" s="51" t="s">
        <v>7</v>
      </c>
      <c r="D556" s="1">
        <f t="shared" si="247"/>
        <v>33512.1</v>
      </c>
      <c r="E556" s="1">
        <f t="shared" ref="E556:O556" si="254">E557+E558+E559+E561</f>
        <v>6610.3</v>
      </c>
      <c r="F556" s="1">
        <f t="shared" si="254"/>
        <v>5421.9</v>
      </c>
      <c r="G556" s="1">
        <f t="shared" si="254"/>
        <v>1966.9</v>
      </c>
      <c r="H556" s="1">
        <f t="shared" si="254"/>
        <v>945.9</v>
      </c>
      <c r="I556" s="1">
        <f t="shared" si="254"/>
        <v>11181</v>
      </c>
      <c r="J556" s="1">
        <f t="shared" si="254"/>
        <v>2488.6000000000004</v>
      </c>
      <c r="K556" s="1">
        <f t="shared" si="254"/>
        <v>1158.3</v>
      </c>
      <c r="L556" s="1">
        <f t="shared" si="254"/>
        <v>3329.8</v>
      </c>
      <c r="M556" s="1">
        <f t="shared" si="254"/>
        <v>409.4</v>
      </c>
      <c r="N556" s="1">
        <f t="shared" si="254"/>
        <v>0</v>
      </c>
      <c r="O556" s="1">
        <f t="shared" si="254"/>
        <v>0</v>
      </c>
    </row>
    <row r="557" spans="1:24" ht="15.75" x14ac:dyDescent="0.2">
      <c r="A557" s="133"/>
      <c r="B557" s="103"/>
      <c r="C557" s="51" t="s">
        <v>10</v>
      </c>
      <c r="D557" s="1">
        <f t="shared" si="247"/>
        <v>0</v>
      </c>
      <c r="E557" s="1">
        <v>0</v>
      </c>
      <c r="F557" s="1">
        <v>0</v>
      </c>
      <c r="G557" s="1">
        <v>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</row>
    <row r="558" spans="1:24" ht="15.75" x14ac:dyDescent="0.2">
      <c r="A558" s="133"/>
      <c r="B558" s="103"/>
      <c r="C558" s="51" t="s">
        <v>11</v>
      </c>
      <c r="D558" s="1">
        <f t="shared" si="247"/>
        <v>0</v>
      </c>
      <c r="E558" s="1">
        <v>0</v>
      </c>
      <c r="F558" s="1">
        <v>0</v>
      </c>
      <c r="G558" s="1">
        <v>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</row>
    <row r="559" spans="1:24" ht="31.5" x14ac:dyDescent="0.2">
      <c r="A559" s="133"/>
      <c r="B559" s="103"/>
      <c r="C559" s="51" t="s">
        <v>65</v>
      </c>
      <c r="D559" s="1">
        <f t="shared" si="247"/>
        <v>33512.1</v>
      </c>
      <c r="E559" s="1">
        <v>6610.3</v>
      </c>
      <c r="F559" s="1">
        <v>5421.9</v>
      </c>
      <c r="G559" s="1">
        <v>1966.9</v>
      </c>
      <c r="H559" s="1">
        <v>945.9</v>
      </c>
      <c r="I559" s="1">
        <v>11181</v>
      </c>
      <c r="J559" s="1">
        <f>1513.4+227.7+600+147.5</f>
        <v>2488.6000000000004</v>
      </c>
      <c r="K559" s="1">
        <f>1059.4+633.1+454-1078.2+90</f>
        <v>1158.3</v>
      </c>
      <c r="L559" s="1">
        <f>523.5+4871.8-1722-343.5</f>
        <v>3329.8</v>
      </c>
      <c r="M559" s="1">
        <v>409.4</v>
      </c>
      <c r="N559" s="1">
        <f>557.8-557.8</f>
        <v>0</v>
      </c>
      <c r="O559" s="1">
        <v>0</v>
      </c>
      <c r="X559" s="63"/>
    </row>
    <row r="560" spans="1:24" ht="31.5" x14ac:dyDescent="0.2">
      <c r="A560" s="133"/>
      <c r="B560" s="103"/>
      <c r="C560" s="76" t="s">
        <v>79</v>
      </c>
      <c r="D560" s="73">
        <f t="shared" si="247"/>
        <v>1971.3999999999999</v>
      </c>
      <c r="E560" s="73">
        <v>752.3</v>
      </c>
      <c r="F560" s="73">
        <v>0</v>
      </c>
      <c r="G560" s="73">
        <v>1219.0999999999999</v>
      </c>
      <c r="H560" s="73">
        <v>0</v>
      </c>
      <c r="I560" s="73">
        <v>0</v>
      </c>
      <c r="J560" s="73">
        <v>0</v>
      </c>
      <c r="K560" s="73">
        <v>0</v>
      </c>
      <c r="L560" s="73">
        <v>0</v>
      </c>
      <c r="M560" s="73">
        <v>0</v>
      </c>
      <c r="N560" s="73">
        <v>0</v>
      </c>
      <c r="O560" s="73">
        <v>0</v>
      </c>
    </row>
    <row r="561" spans="1:15" ht="19.5" customHeight="1" x14ac:dyDescent="0.2">
      <c r="A561" s="133"/>
      <c r="B561" s="103"/>
      <c r="C561" s="51" t="s">
        <v>13</v>
      </c>
      <c r="D561" s="1">
        <f t="shared" si="247"/>
        <v>0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</row>
    <row r="562" spans="1:15" ht="15.75" x14ac:dyDescent="0.2">
      <c r="A562" s="133" t="s">
        <v>83</v>
      </c>
      <c r="B562" s="103" t="s">
        <v>59</v>
      </c>
      <c r="C562" s="51" t="s">
        <v>7</v>
      </c>
      <c r="D562" s="1">
        <f t="shared" si="247"/>
        <v>124176.59999999999</v>
      </c>
      <c r="E562" s="1">
        <f t="shared" ref="E562:O562" si="255">E563+E564+E565+E566</f>
        <v>7249.7</v>
      </c>
      <c r="F562" s="1">
        <f t="shared" si="255"/>
        <v>10000</v>
      </c>
      <c r="G562" s="1">
        <f t="shared" si="255"/>
        <v>17627.099999999999</v>
      </c>
      <c r="H562" s="1">
        <f t="shared" si="255"/>
        <v>12206.2</v>
      </c>
      <c r="I562" s="1">
        <f t="shared" si="255"/>
        <v>11830</v>
      </c>
      <c r="J562" s="1">
        <f t="shared" si="255"/>
        <v>11379.4</v>
      </c>
      <c r="K562" s="1">
        <f t="shared" si="255"/>
        <v>17692</v>
      </c>
      <c r="L562" s="1">
        <f t="shared" si="255"/>
        <v>13130.2</v>
      </c>
      <c r="M562" s="1">
        <f t="shared" si="255"/>
        <v>6905.9</v>
      </c>
      <c r="N562" s="1">
        <f t="shared" si="255"/>
        <v>8138.1</v>
      </c>
      <c r="O562" s="1">
        <f t="shared" si="255"/>
        <v>8018</v>
      </c>
    </row>
    <row r="563" spans="1:15" ht="15.75" x14ac:dyDescent="0.2">
      <c r="A563" s="133"/>
      <c r="B563" s="103"/>
      <c r="C563" s="51" t="s">
        <v>10</v>
      </c>
      <c r="D563" s="1">
        <f t="shared" si="247"/>
        <v>0</v>
      </c>
      <c r="E563" s="1">
        <v>0</v>
      </c>
      <c r="F563" s="1">
        <v>0</v>
      </c>
      <c r="G563" s="1">
        <v>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</row>
    <row r="564" spans="1:15" ht="15.75" x14ac:dyDescent="0.2">
      <c r="A564" s="133"/>
      <c r="B564" s="103"/>
      <c r="C564" s="51" t="s">
        <v>11</v>
      </c>
      <c r="D564" s="1">
        <f t="shared" si="247"/>
        <v>0</v>
      </c>
      <c r="E564" s="1">
        <v>0</v>
      </c>
      <c r="F564" s="1">
        <v>0</v>
      </c>
      <c r="G564" s="1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</row>
    <row r="565" spans="1:15" ht="15.75" x14ac:dyDescent="0.2">
      <c r="A565" s="133"/>
      <c r="B565" s="103"/>
      <c r="C565" s="51" t="s">
        <v>12</v>
      </c>
      <c r="D565" s="1">
        <f t="shared" si="247"/>
        <v>124176.59999999999</v>
      </c>
      <c r="E565" s="1">
        <v>7249.7</v>
      </c>
      <c r="F565" s="1">
        <v>10000</v>
      </c>
      <c r="G565" s="1">
        <v>17627.099999999999</v>
      </c>
      <c r="H565" s="1">
        <v>12206.2</v>
      </c>
      <c r="I565" s="1">
        <v>11830</v>
      </c>
      <c r="J565" s="1">
        <f>11444.4-65</f>
        <v>11379.4</v>
      </c>
      <c r="K565" s="1">
        <f>8540+1940+2150+143.2+4918.8</f>
        <v>17692</v>
      </c>
      <c r="L565" s="1">
        <f>6900.2+4030+2200</f>
        <v>13130.2</v>
      </c>
      <c r="M565" s="1">
        <f>7316.7-410.8</f>
        <v>6905.9</v>
      </c>
      <c r="N565" s="1">
        <f>7352.5+785.6</f>
        <v>8138.1</v>
      </c>
      <c r="O565" s="1">
        <f>12200-4182</f>
        <v>8018</v>
      </c>
    </row>
    <row r="566" spans="1:15" ht="26.25" customHeight="1" x14ac:dyDescent="0.2">
      <c r="A566" s="133"/>
      <c r="B566" s="103"/>
      <c r="C566" s="59" t="s">
        <v>13</v>
      </c>
      <c r="D566" s="1">
        <f t="shared" si="247"/>
        <v>0</v>
      </c>
      <c r="E566" s="1">
        <v>0</v>
      </c>
      <c r="F566" s="1">
        <v>0</v>
      </c>
      <c r="G566" s="1">
        <v>0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">
        <v>0</v>
      </c>
    </row>
    <row r="567" spans="1:15" ht="15.75" x14ac:dyDescent="0.2">
      <c r="A567" s="97" t="s">
        <v>355</v>
      </c>
      <c r="B567" s="108" t="s">
        <v>362</v>
      </c>
      <c r="C567" s="51" t="s">
        <v>7</v>
      </c>
      <c r="D567" s="1">
        <f t="shared" si="247"/>
        <v>708.6</v>
      </c>
      <c r="E567" s="1">
        <f t="shared" ref="E567:O567" si="256">E570+E568+E569+E571</f>
        <v>0</v>
      </c>
      <c r="F567" s="1">
        <f t="shared" si="256"/>
        <v>0</v>
      </c>
      <c r="G567" s="1">
        <f t="shared" si="256"/>
        <v>0</v>
      </c>
      <c r="H567" s="1">
        <f t="shared" si="256"/>
        <v>0</v>
      </c>
      <c r="I567" s="1">
        <f t="shared" si="256"/>
        <v>0</v>
      </c>
      <c r="J567" s="1">
        <f t="shared" si="256"/>
        <v>708.6</v>
      </c>
      <c r="K567" s="1">
        <f t="shared" si="256"/>
        <v>0</v>
      </c>
      <c r="L567" s="1">
        <f t="shared" si="256"/>
        <v>0</v>
      </c>
      <c r="M567" s="1">
        <f t="shared" si="256"/>
        <v>0</v>
      </c>
      <c r="N567" s="1">
        <f t="shared" si="256"/>
        <v>0</v>
      </c>
      <c r="O567" s="1">
        <f t="shared" si="256"/>
        <v>0</v>
      </c>
    </row>
    <row r="568" spans="1:15" ht="15.75" x14ac:dyDescent="0.2">
      <c r="A568" s="130"/>
      <c r="B568" s="108"/>
      <c r="C568" s="51" t="s">
        <v>10</v>
      </c>
      <c r="D568" s="1">
        <f t="shared" si="247"/>
        <v>0</v>
      </c>
      <c r="E568" s="1">
        <f>E573</f>
        <v>0</v>
      </c>
      <c r="F568" s="1">
        <f t="shared" ref="F568:O568" si="257">F573</f>
        <v>0</v>
      </c>
      <c r="G568" s="1">
        <f t="shared" si="257"/>
        <v>0</v>
      </c>
      <c r="H568" s="1">
        <f t="shared" si="257"/>
        <v>0</v>
      </c>
      <c r="I568" s="1">
        <f t="shared" si="257"/>
        <v>0</v>
      </c>
      <c r="J568" s="1">
        <f t="shared" si="257"/>
        <v>0</v>
      </c>
      <c r="K568" s="1">
        <f t="shared" si="257"/>
        <v>0</v>
      </c>
      <c r="L568" s="1">
        <f t="shared" si="257"/>
        <v>0</v>
      </c>
      <c r="M568" s="1">
        <f t="shared" si="257"/>
        <v>0</v>
      </c>
      <c r="N568" s="1">
        <f t="shared" si="257"/>
        <v>0</v>
      </c>
      <c r="O568" s="1">
        <f t="shared" si="257"/>
        <v>0</v>
      </c>
    </row>
    <row r="569" spans="1:15" ht="15.75" x14ac:dyDescent="0.2">
      <c r="A569" s="130"/>
      <c r="B569" s="108"/>
      <c r="C569" s="51" t="s">
        <v>11</v>
      </c>
      <c r="D569" s="1">
        <f t="shared" si="247"/>
        <v>708.6</v>
      </c>
      <c r="E569" s="1">
        <f>E574</f>
        <v>0</v>
      </c>
      <c r="F569" s="1">
        <f t="shared" ref="F569:O569" si="258">F574</f>
        <v>0</v>
      </c>
      <c r="G569" s="1">
        <f t="shared" si="258"/>
        <v>0</v>
      </c>
      <c r="H569" s="1">
        <f t="shared" si="258"/>
        <v>0</v>
      </c>
      <c r="I569" s="1">
        <f t="shared" si="258"/>
        <v>0</v>
      </c>
      <c r="J569" s="1">
        <f t="shared" si="258"/>
        <v>708.6</v>
      </c>
      <c r="K569" s="1">
        <f t="shared" si="258"/>
        <v>0</v>
      </c>
      <c r="L569" s="1">
        <f t="shared" si="258"/>
        <v>0</v>
      </c>
      <c r="M569" s="1">
        <f t="shared" si="258"/>
        <v>0</v>
      </c>
      <c r="N569" s="1">
        <f t="shared" si="258"/>
        <v>0</v>
      </c>
      <c r="O569" s="1">
        <f t="shared" si="258"/>
        <v>0</v>
      </c>
    </row>
    <row r="570" spans="1:15" ht="31.5" customHeight="1" x14ac:dyDescent="0.2">
      <c r="A570" s="130"/>
      <c r="B570" s="108"/>
      <c r="C570" s="51" t="s">
        <v>65</v>
      </c>
      <c r="D570" s="1">
        <f t="shared" si="247"/>
        <v>0</v>
      </c>
      <c r="E570" s="1">
        <f>E575</f>
        <v>0</v>
      </c>
      <c r="F570" s="1">
        <f t="shared" ref="F570:O570" si="259">F575</f>
        <v>0</v>
      </c>
      <c r="G570" s="1">
        <f t="shared" si="259"/>
        <v>0</v>
      </c>
      <c r="H570" s="1">
        <f t="shared" si="259"/>
        <v>0</v>
      </c>
      <c r="I570" s="1">
        <f t="shared" si="259"/>
        <v>0</v>
      </c>
      <c r="J570" s="1">
        <f t="shared" si="259"/>
        <v>0</v>
      </c>
      <c r="K570" s="1">
        <f t="shared" si="259"/>
        <v>0</v>
      </c>
      <c r="L570" s="1">
        <f t="shared" si="259"/>
        <v>0</v>
      </c>
      <c r="M570" s="1">
        <f t="shared" si="259"/>
        <v>0</v>
      </c>
      <c r="N570" s="1">
        <f t="shared" si="259"/>
        <v>0</v>
      </c>
      <c r="O570" s="1">
        <f t="shared" si="259"/>
        <v>0</v>
      </c>
    </row>
    <row r="571" spans="1:15" ht="17.25" customHeight="1" x14ac:dyDescent="0.2">
      <c r="A571" s="131"/>
      <c r="B571" s="108"/>
      <c r="C571" s="51" t="s">
        <v>13</v>
      </c>
      <c r="D571" s="1">
        <f t="shared" si="247"/>
        <v>0</v>
      </c>
      <c r="E571" s="1">
        <f>E576</f>
        <v>0</v>
      </c>
      <c r="F571" s="1">
        <f t="shared" ref="F571:O571" si="260">F576</f>
        <v>0</v>
      </c>
      <c r="G571" s="1">
        <f t="shared" si="260"/>
        <v>0</v>
      </c>
      <c r="H571" s="1">
        <f t="shared" si="260"/>
        <v>0</v>
      </c>
      <c r="I571" s="1">
        <f t="shared" si="260"/>
        <v>0</v>
      </c>
      <c r="J571" s="1">
        <f t="shared" si="260"/>
        <v>0</v>
      </c>
      <c r="K571" s="1">
        <f t="shared" si="260"/>
        <v>0</v>
      </c>
      <c r="L571" s="1">
        <f t="shared" si="260"/>
        <v>0</v>
      </c>
      <c r="M571" s="1">
        <f t="shared" si="260"/>
        <v>0</v>
      </c>
      <c r="N571" s="1">
        <f t="shared" si="260"/>
        <v>0</v>
      </c>
      <c r="O571" s="1">
        <f t="shared" si="260"/>
        <v>0</v>
      </c>
    </row>
    <row r="572" spans="1:15" ht="15.75" x14ac:dyDescent="0.2">
      <c r="A572" s="133" t="s">
        <v>356</v>
      </c>
      <c r="B572" s="103" t="s">
        <v>363</v>
      </c>
      <c r="C572" s="51" t="s">
        <v>7</v>
      </c>
      <c r="D572" s="1">
        <f t="shared" si="247"/>
        <v>708.6</v>
      </c>
      <c r="E572" s="1">
        <f t="shared" ref="E572:O572" si="261">E573+E574+E575+E576</f>
        <v>0</v>
      </c>
      <c r="F572" s="1">
        <f t="shared" si="261"/>
        <v>0</v>
      </c>
      <c r="G572" s="1">
        <f t="shared" si="261"/>
        <v>0</v>
      </c>
      <c r="H572" s="1">
        <f t="shared" si="261"/>
        <v>0</v>
      </c>
      <c r="I572" s="1">
        <f t="shared" si="261"/>
        <v>0</v>
      </c>
      <c r="J572" s="1">
        <f t="shared" si="261"/>
        <v>708.6</v>
      </c>
      <c r="K572" s="1">
        <f t="shared" si="261"/>
        <v>0</v>
      </c>
      <c r="L572" s="1">
        <f t="shared" si="261"/>
        <v>0</v>
      </c>
      <c r="M572" s="1">
        <f t="shared" si="261"/>
        <v>0</v>
      </c>
      <c r="N572" s="1">
        <f t="shared" si="261"/>
        <v>0</v>
      </c>
      <c r="O572" s="1">
        <f t="shared" si="261"/>
        <v>0</v>
      </c>
    </row>
    <row r="573" spans="1:15" ht="15.75" x14ac:dyDescent="0.2">
      <c r="A573" s="133"/>
      <c r="B573" s="103"/>
      <c r="C573" s="51" t="s">
        <v>10</v>
      </c>
      <c r="D573" s="1">
        <f t="shared" si="247"/>
        <v>0</v>
      </c>
      <c r="E573" s="1">
        <v>0</v>
      </c>
      <c r="F573" s="1">
        <v>0</v>
      </c>
      <c r="G573" s="1">
        <v>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</row>
    <row r="574" spans="1:15" ht="15.75" x14ac:dyDescent="0.2">
      <c r="A574" s="133"/>
      <c r="B574" s="103"/>
      <c r="C574" s="51" t="s">
        <v>11</v>
      </c>
      <c r="D574" s="1">
        <f t="shared" si="247"/>
        <v>708.6</v>
      </c>
      <c r="E574" s="1">
        <v>0</v>
      </c>
      <c r="F574" s="1">
        <v>0</v>
      </c>
      <c r="G574" s="1">
        <v>0</v>
      </c>
      <c r="H574" s="1">
        <v>0</v>
      </c>
      <c r="I574" s="1">
        <v>0</v>
      </c>
      <c r="J574" s="1">
        <v>708.6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</row>
    <row r="575" spans="1:15" ht="23.25" customHeight="1" x14ac:dyDescent="0.2">
      <c r="A575" s="133"/>
      <c r="B575" s="103"/>
      <c r="C575" s="51" t="s">
        <v>12</v>
      </c>
      <c r="D575" s="1">
        <f t="shared" si="247"/>
        <v>0</v>
      </c>
      <c r="E575" s="1">
        <v>0</v>
      </c>
      <c r="F575" s="1">
        <v>0</v>
      </c>
      <c r="G575" s="1">
        <v>0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">
        <v>0</v>
      </c>
    </row>
    <row r="576" spans="1:15" ht="24.75" customHeight="1" x14ac:dyDescent="0.2">
      <c r="A576" s="133"/>
      <c r="B576" s="103"/>
      <c r="C576" s="59" t="s">
        <v>13</v>
      </c>
      <c r="D576" s="1">
        <f t="shared" si="247"/>
        <v>0</v>
      </c>
      <c r="E576" s="1">
        <v>0</v>
      </c>
      <c r="F576" s="1">
        <v>0</v>
      </c>
      <c r="G576" s="1">
        <v>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</row>
    <row r="577" spans="1:17" ht="15.75" customHeight="1" x14ac:dyDescent="0.2">
      <c r="A577" s="110" t="s">
        <v>31</v>
      </c>
      <c r="B577" s="141" t="s">
        <v>330</v>
      </c>
      <c r="C577" s="60" t="s">
        <v>7</v>
      </c>
      <c r="D577" s="2">
        <f t="shared" si="247"/>
        <v>3929297.9620000003</v>
      </c>
      <c r="E577" s="2">
        <f>E578+E579+E581+E584</f>
        <v>228156.69999999998</v>
      </c>
      <c r="F577" s="2">
        <f>F578+F579+F581+F584</f>
        <v>279787.8</v>
      </c>
      <c r="G577" s="2">
        <f t="shared" ref="G577:O577" si="262">SUM(G578:G584)</f>
        <v>257795.10000000003</v>
      </c>
      <c r="H577" s="2">
        <f t="shared" si="262"/>
        <v>267713.5</v>
      </c>
      <c r="I577" s="2">
        <f t="shared" si="262"/>
        <v>352068.4</v>
      </c>
      <c r="J577" s="2">
        <f t="shared" si="262"/>
        <v>478026.3</v>
      </c>
      <c r="K577" s="2">
        <f t="shared" si="262"/>
        <v>781436.36200000008</v>
      </c>
      <c r="L577" s="2">
        <f t="shared" si="262"/>
        <v>562909.5</v>
      </c>
      <c r="M577" s="2">
        <f t="shared" si="262"/>
        <v>289349.7</v>
      </c>
      <c r="N577" s="2">
        <f t="shared" si="262"/>
        <v>216737.7</v>
      </c>
      <c r="O577" s="2">
        <f t="shared" si="262"/>
        <v>215316.89999999997</v>
      </c>
      <c r="P577" s="61"/>
      <c r="Q577" s="70"/>
    </row>
    <row r="578" spans="1:17" ht="15.75" x14ac:dyDescent="0.2">
      <c r="A578" s="110"/>
      <c r="B578" s="141"/>
      <c r="C578" s="59" t="s">
        <v>10</v>
      </c>
      <c r="D578" s="1">
        <f t="shared" si="247"/>
        <v>0</v>
      </c>
      <c r="E578" s="1">
        <f>E597+E607+E617+E632+E642+E648</f>
        <v>0</v>
      </c>
      <c r="F578" s="1">
        <f t="shared" ref="F578:O578" si="263">F597+F607+F617+F632+F642+F648</f>
        <v>0</v>
      </c>
      <c r="G578" s="1">
        <f t="shared" si="263"/>
        <v>0</v>
      </c>
      <c r="H578" s="1">
        <f t="shared" si="263"/>
        <v>0</v>
      </c>
      <c r="I578" s="1">
        <f>I597+I607+I617+I632+I642+I648</f>
        <v>0</v>
      </c>
      <c r="J578" s="1">
        <f t="shared" si="263"/>
        <v>0</v>
      </c>
      <c r="K578" s="1">
        <f t="shared" si="263"/>
        <v>0</v>
      </c>
      <c r="L578" s="1">
        <f t="shared" si="263"/>
        <v>0</v>
      </c>
      <c r="M578" s="1">
        <f t="shared" si="263"/>
        <v>0</v>
      </c>
      <c r="N578" s="1">
        <f t="shared" si="263"/>
        <v>0</v>
      </c>
      <c r="O578" s="1">
        <f t="shared" si="263"/>
        <v>0</v>
      </c>
      <c r="P578" s="63"/>
      <c r="Q578" s="63"/>
    </row>
    <row r="579" spans="1:17" ht="31.5" x14ac:dyDescent="0.2">
      <c r="A579" s="110"/>
      <c r="B579" s="141"/>
      <c r="C579" s="59" t="s">
        <v>69</v>
      </c>
      <c r="D579" s="1">
        <f t="shared" si="247"/>
        <v>1084233.8</v>
      </c>
      <c r="E579" s="1">
        <f t="shared" ref="E579:H579" si="264">E587+E695</f>
        <v>0</v>
      </c>
      <c r="F579" s="1">
        <f t="shared" si="264"/>
        <v>0</v>
      </c>
      <c r="G579" s="1">
        <f t="shared" si="264"/>
        <v>0</v>
      </c>
      <c r="H579" s="1">
        <f t="shared" si="264"/>
        <v>0</v>
      </c>
      <c r="I579" s="1">
        <f>I587+I695+I709</f>
        <v>159753.70000000001</v>
      </c>
      <c r="J579" s="1">
        <f>J587+J695+J709</f>
        <v>282920.3</v>
      </c>
      <c r="K579" s="1">
        <f>K587+K695</f>
        <v>368985.2</v>
      </c>
      <c r="L579" s="1">
        <f>L587+L695</f>
        <v>195620.5</v>
      </c>
      <c r="M579" s="1">
        <f>M587+M695</f>
        <v>76954.100000000006</v>
      </c>
      <c r="N579" s="1">
        <f>N587+N695</f>
        <v>0</v>
      </c>
      <c r="O579" s="1">
        <f>O587+O695</f>
        <v>0</v>
      </c>
    </row>
    <row r="580" spans="1:17" ht="31.5" x14ac:dyDescent="0.2">
      <c r="A580" s="110"/>
      <c r="B580" s="141"/>
      <c r="C580" s="74" t="s">
        <v>81</v>
      </c>
      <c r="D580" s="73">
        <f t="shared" si="247"/>
        <v>11279.3</v>
      </c>
      <c r="E580" s="73">
        <f t="shared" ref="E580:L580" si="265">E696</f>
        <v>0</v>
      </c>
      <c r="F580" s="73">
        <f t="shared" si="265"/>
        <v>0</v>
      </c>
      <c r="G580" s="73">
        <f t="shared" si="265"/>
        <v>0</v>
      </c>
      <c r="H580" s="73">
        <f t="shared" si="265"/>
        <v>0</v>
      </c>
      <c r="I580" s="73">
        <f t="shared" si="265"/>
        <v>0</v>
      </c>
      <c r="J580" s="73">
        <f t="shared" si="265"/>
        <v>0</v>
      </c>
      <c r="K580" s="73">
        <f t="shared" si="265"/>
        <v>0</v>
      </c>
      <c r="L580" s="73">
        <f t="shared" si="265"/>
        <v>0</v>
      </c>
      <c r="M580" s="73">
        <f>M696</f>
        <v>11279.3</v>
      </c>
      <c r="N580" s="73">
        <f t="shared" ref="N580:O580" si="266">N696</f>
        <v>0</v>
      </c>
      <c r="O580" s="73">
        <f t="shared" si="266"/>
        <v>0</v>
      </c>
    </row>
    <row r="581" spans="1:17" ht="31.5" customHeight="1" x14ac:dyDescent="0.2">
      <c r="A581" s="110"/>
      <c r="B581" s="141"/>
      <c r="C581" s="59" t="s">
        <v>65</v>
      </c>
      <c r="D581" s="1">
        <f t="shared" si="247"/>
        <v>2833064.9620000003</v>
      </c>
      <c r="E581" s="1">
        <f>E588+E697</f>
        <v>228156.69999999998</v>
      </c>
      <c r="F581" s="1">
        <f>F588+F697</f>
        <v>279787.8</v>
      </c>
      <c r="G581" s="1">
        <f>G588+G697</f>
        <v>257795.10000000003</v>
      </c>
      <c r="H581" s="1">
        <f>H588+H697</f>
        <v>267713.5</v>
      </c>
      <c r="I581" s="1">
        <f>I588+I697+I710</f>
        <v>192314.7</v>
      </c>
      <c r="J581" s="1">
        <f>J588+J697+J710</f>
        <v>195106</v>
      </c>
      <c r="K581" s="1">
        <f>K588+K697+K720</f>
        <v>412451.16200000007</v>
      </c>
      <c r="L581" s="1">
        <f>L588+L697+L720</f>
        <v>367289</v>
      </c>
      <c r="M581" s="1">
        <f>M588+M697+M720</f>
        <v>200396.4</v>
      </c>
      <c r="N581" s="1">
        <f>N588+N697+N720</f>
        <v>216737.7</v>
      </c>
      <c r="O581" s="1">
        <f>O588+O697+O720</f>
        <v>215316.89999999997</v>
      </c>
    </row>
    <row r="582" spans="1:17" ht="31.5" x14ac:dyDescent="0.2">
      <c r="A582" s="110"/>
      <c r="B582" s="141"/>
      <c r="C582" s="76" t="s">
        <v>79</v>
      </c>
      <c r="D582" s="73">
        <f>E582+F582+G582+H582+I582+J582+K582+L582+M582+N582+O582</f>
        <v>59050</v>
      </c>
      <c r="E582" s="73">
        <f>E589</f>
        <v>30550</v>
      </c>
      <c r="F582" s="73">
        <f>F651</f>
        <v>28500</v>
      </c>
      <c r="G582" s="73">
        <f>G651</f>
        <v>0</v>
      </c>
      <c r="H582" s="73">
        <f>H651</f>
        <v>0</v>
      </c>
      <c r="I582" s="73">
        <f>I651</f>
        <v>0</v>
      </c>
      <c r="J582" s="1">
        <f t="shared" ref="J582:O582" si="267">J600+J610+J620+J635+J645+J651</f>
        <v>0</v>
      </c>
      <c r="K582" s="1">
        <f t="shared" si="267"/>
        <v>0</v>
      </c>
      <c r="L582" s="1">
        <f t="shared" si="267"/>
        <v>0</v>
      </c>
      <c r="M582" s="1">
        <f t="shared" si="267"/>
        <v>0</v>
      </c>
      <c r="N582" s="1">
        <f t="shared" si="267"/>
        <v>0</v>
      </c>
      <c r="O582" s="1">
        <f t="shared" si="267"/>
        <v>0</v>
      </c>
    </row>
    <row r="583" spans="1:17" ht="31.5" x14ac:dyDescent="0.2">
      <c r="A583" s="110"/>
      <c r="B583" s="141"/>
      <c r="C583" s="74" t="s">
        <v>449</v>
      </c>
      <c r="D583" s="73">
        <f>E583+F583+G583+H583+I583+J583+K583+L583+M583+N583+O583</f>
        <v>719.9</v>
      </c>
      <c r="E583" s="73">
        <f t="shared" ref="E583:L583" si="268">E698</f>
        <v>0</v>
      </c>
      <c r="F583" s="73">
        <f t="shared" si="268"/>
        <v>0</v>
      </c>
      <c r="G583" s="73">
        <f t="shared" si="268"/>
        <v>0</v>
      </c>
      <c r="H583" s="73">
        <f t="shared" si="268"/>
        <v>0</v>
      </c>
      <c r="I583" s="73">
        <f t="shared" si="268"/>
        <v>0</v>
      </c>
      <c r="J583" s="73">
        <f t="shared" si="268"/>
        <v>0</v>
      </c>
      <c r="K583" s="73">
        <f t="shared" si="268"/>
        <v>0</v>
      </c>
      <c r="L583" s="73">
        <f t="shared" si="268"/>
        <v>0</v>
      </c>
      <c r="M583" s="73">
        <f>M698</f>
        <v>719.9</v>
      </c>
      <c r="N583" s="73">
        <f t="shared" ref="N583:O583" si="269">N698</f>
        <v>0</v>
      </c>
      <c r="O583" s="73">
        <f t="shared" si="269"/>
        <v>0</v>
      </c>
    </row>
    <row r="584" spans="1:17" ht="31.5" customHeight="1" x14ac:dyDescent="0.2">
      <c r="A584" s="110"/>
      <c r="B584" s="141"/>
      <c r="C584" s="59" t="s">
        <v>13</v>
      </c>
      <c r="D584" s="1">
        <f t="shared" si="247"/>
        <v>0</v>
      </c>
      <c r="E584" s="1">
        <f>E600+E610+E620+E635+E646+E652</f>
        <v>0</v>
      </c>
      <c r="F584" s="1">
        <f>F600+F610+F620+F635+F646+F652</f>
        <v>0</v>
      </c>
      <c r="G584" s="1">
        <f>G600+G610+G620+G635+G646+G652</f>
        <v>0</v>
      </c>
      <c r="H584" s="1">
        <v>0</v>
      </c>
      <c r="I584" s="1">
        <f t="shared" ref="I584:O584" si="270">I600+I610+I620+I635+I646+I652</f>
        <v>0</v>
      </c>
      <c r="J584" s="1">
        <f t="shared" si="270"/>
        <v>0</v>
      </c>
      <c r="K584" s="1">
        <f t="shared" si="270"/>
        <v>0</v>
      </c>
      <c r="L584" s="1">
        <f t="shared" si="270"/>
        <v>0</v>
      </c>
      <c r="M584" s="1">
        <f t="shared" si="270"/>
        <v>0</v>
      </c>
      <c r="N584" s="1">
        <f t="shared" si="270"/>
        <v>0</v>
      </c>
      <c r="O584" s="1">
        <f t="shared" si="270"/>
        <v>0</v>
      </c>
    </row>
    <row r="585" spans="1:17" ht="15.75" x14ac:dyDescent="0.2">
      <c r="A585" s="108" t="s">
        <v>34</v>
      </c>
      <c r="B585" s="108" t="s">
        <v>122</v>
      </c>
      <c r="C585" s="59" t="s">
        <v>7</v>
      </c>
      <c r="D585" s="1">
        <f t="shared" si="247"/>
        <v>2922202.3620000007</v>
      </c>
      <c r="E585" s="1">
        <f>E586+E587+E588+E590</f>
        <v>228156.69999999998</v>
      </c>
      <c r="F585" s="1">
        <f t="shared" ref="F585:O585" si="271">F586+F587+F588+F590</f>
        <v>279787.8</v>
      </c>
      <c r="G585" s="1">
        <f t="shared" si="271"/>
        <v>257795.10000000003</v>
      </c>
      <c r="H585" s="1">
        <f t="shared" si="271"/>
        <v>267713.5</v>
      </c>
      <c r="I585" s="1">
        <f t="shared" si="271"/>
        <v>299568.40000000002</v>
      </c>
      <c r="J585" s="1">
        <f>J586+J587+J588+J590</f>
        <v>249909.09999999998</v>
      </c>
      <c r="K585" s="1">
        <f>K586+K587+K588+K590</f>
        <v>373970.76200000005</v>
      </c>
      <c r="L585" s="1">
        <f t="shared" si="271"/>
        <v>348526.2</v>
      </c>
      <c r="M585" s="1">
        <f t="shared" si="271"/>
        <v>184720.2</v>
      </c>
      <c r="N585" s="1">
        <f t="shared" si="271"/>
        <v>216737.7</v>
      </c>
      <c r="O585" s="1">
        <f t="shared" si="271"/>
        <v>215316.89999999997</v>
      </c>
      <c r="P585" s="61"/>
      <c r="Q585" s="70"/>
    </row>
    <row r="586" spans="1:17" ht="18" customHeight="1" x14ac:dyDescent="0.2">
      <c r="A586" s="113"/>
      <c r="B586" s="134"/>
      <c r="C586" s="59" t="s">
        <v>10</v>
      </c>
      <c r="D586" s="1">
        <f t="shared" si="247"/>
        <v>0</v>
      </c>
      <c r="E586" s="1">
        <f t="shared" ref="E586:O586" si="272">E597+E607+E617+E632+E642+E648</f>
        <v>0</v>
      </c>
      <c r="F586" s="1">
        <f t="shared" si="272"/>
        <v>0</v>
      </c>
      <c r="G586" s="1">
        <f t="shared" si="272"/>
        <v>0</v>
      </c>
      <c r="H586" s="1">
        <f t="shared" si="272"/>
        <v>0</v>
      </c>
      <c r="I586" s="1">
        <f t="shared" si="272"/>
        <v>0</v>
      </c>
      <c r="J586" s="1">
        <f t="shared" si="272"/>
        <v>0</v>
      </c>
      <c r="K586" s="1">
        <f t="shared" si="272"/>
        <v>0</v>
      </c>
      <c r="L586" s="1">
        <f t="shared" si="272"/>
        <v>0</v>
      </c>
      <c r="M586" s="1">
        <f t="shared" si="272"/>
        <v>0</v>
      </c>
      <c r="N586" s="1">
        <f t="shared" si="272"/>
        <v>0</v>
      </c>
      <c r="O586" s="1">
        <f t="shared" si="272"/>
        <v>0</v>
      </c>
    </row>
    <row r="587" spans="1:17" ht="16.5" customHeight="1" x14ac:dyDescent="0.2">
      <c r="A587" s="113"/>
      <c r="B587" s="134"/>
      <c r="C587" s="59" t="s">
        <v>11</v>
      </c>
      <c r="D587" s="1">
        <f t="shared" si="247"/>
        <v>178807.9</v>
      </c>
      <c r="E587" s="1">
        <f>E598+E608+E618+E633+E643+E649+E603+E613+E623+E628+E638+E655+E695</f>
        <v>0</v>
      </c>
      <c r="F587" s="1">
        <f>F598+F608+F618+F633+F643+F649+F603+F613+F623+F628+F638+F655+F695</f>
        <v>0</v>
      </c>
      <c r="G587" s="1">
        <f>G598+G608+G618+G633+G643+G649+G603+G613+G623+G628+G638+G655+G695</f>
        <v>0</v>
      </c>
      <c r="H587" s="1">
        <f>H598+H608+H618+H633+H643+H649+H603+H613+H623+H628+H638+H655+H695</f>
        <v>0</v>
      </c>
      <c r="I587" s="1">
        <f t="shared" ref="I587:O587" si="273">I598+I608+I618+I633+I643+I649+I603+I613+I623+I628+I638+I655</f>
        <v>109753.7</v>
      </c>
      <c r="J587" s="1">
        <f t="shared" si="273"/>
        <v>69054.2</v>
      </c>
      <c r="K587" s="1">
        <f t="shared" si="273"/>
        <v>0</v>
      </c>
      <c r="L587" s="1">
        <f t="shared" si="273"/>
        <v>0</v>
      </c>
      <c r="M587" s="1">
        <f t="shared" si="273"/>
        <v>0</v>
      </c>
      <c r="N587" s="1">
        <f t="shared" si="273"/>
        <v>0</v>
      </c>
      <c r="O587" s="1">
        <f t="shared" si="273"/>
        <v>0</v>
      </c>
    </row>
    <row r="588" spans="1:17" ht="31.5" x14ac:dyDescent="0.2">
      <c r="A588" s="113"/>
      <c r="B588" s="134"/>
      <c r="C588" s="59" t="s">
        <v>65</v>
      </c>
      <c r="D588" s="1">
        <f t="shared" si="247"/>
        <v>2743394.4620000003</v>
      </c>
      <c r="E588" s="1">
        <f>E594+E599+E609+E614+E619+E629+E634+E644+E650+E656++E639+E697+E661</f>
        <v>228156.69999999998</v>
      </c>
      <c r="F588" s="1">
        <f>F594+F599+F609+F614+F619+F629+F634+F644+F650+F656++F639+F697+F661</f>
        <v>279787.8</v>
      </c>
      <c r="G588" s="1">
        <f>G594+G599+G609+G614+G619+G629+G634+G644+G650+G656++G639+G697+G661</f>
        <v>257795.10000000003</v>
      </c>
      <c r="H588" s="1">
        <f>H594+H599+H609+H614+H619+H629+H634+H644+H650+H656++H639+H697+H661</f>
        <v>267713.5</v>
      </c>
      <c r="I588" s="1">
        <f>I594+I599+I609+I614+I619+I629+I634+I644+I650+I656++I639+I661</f>
        <v>189814.7</v>
      </c>
      <c r="J588" s="1">
        <f>J594+J599+J609+J614+J619+J629+J634+J644+J650+J656++J639+J661</f>
        <v>180854.9</v>
      </c>
      <c r="K588" s="1">
        <f>K594+K599+K609+K614+K619+K629+K634+K644+K650+K656++K639+K661+K666+K671+K676+K681+K686</f>
        <v>373970.76200000005</v>
      </c>
      <c r="L588" s="1">
        <f>L594+L599+L609+L614+L619+L629+L634+L644+L650+L656++L639+L661+L666+L671+L676+L681+L686+L691</f>
        <v>348526.2</v>
      </c>
      <c r="M588" s="1">
        <f>M594+M599+M609+M614+M619+M629+M634+M644+M650+M656++M639+M661+M666+M671+M676+M681+M686+M691</f>
        <v>184720.2</v>
      </c>
      <c r="N588" s="1">
        <f t="shared" ref="N588:O588" si="274">N594+N599+N609+N614+N619+N629+N634+N644+N650+N656++N639+N661+N666+N671+N676+N681+N686+N691</f>
        <v>216737.7</v>
      </c>
      <c r="O588" s="1">
        <f t="shared" si="274"/>
        <v>215316.89999999997</v>
      </c>
    </row>
    <row r="589" spans="1:17" ht="31.5" x14ac:dyDescent="0.2">
      <c r="A589" s="113"/>
      <c r="B589" s="134"/>
      <c r="C589" s="76" t="s">
        <v>79</v>
      </c>
      <c r="D589" s="73">
        <f t="shared" si="247"/>
        <v>59050</v>
      </c>
      <c r="E589" s="73">
        <f>E651+E645</f>
        <v>30550</v>
      </c>
      <c r="F589" s="73">
        <f>F651+F645</f>
        <v>28500</v>
      </c>
      <c r="G589" s="73">
        <f>G651+G645</f>
        <v>0</v>
      </c>
      <c r="H589" s="73">
        <f>H651+H645</f>
        <v>0</v>
      </c>
      <c r="I589" s="73">
        <f>I651+I645</f>
        <v>0</v>
      </c>
      <c r="J589" s="1">
        <f t="shared" ref="J589:O589" si="275">J600+J610+J620+J635+J645+J651</f>
        <v>0</v>
      </c>
      <c r="K589" s="1">
        <f t="shared" si="275"/>
        <v>0</v>
      </c>
      <c r="L589" s="1">
        <f t="shared" si="275"/>
        <v>0</v>
      </c>
      <c r="M589" s="1">
        <f t="shared" si="275"/>
        <v>0</v>
      </c>
      <c r="N589" s="1">
        <f t="shared" si="275"/>
        <v>0</v>
      </c>
      <c r="O589" s="1">
        <f t="shared" si="275"/>
        <v>0</v>
      </c>
    </row>
    <row r="590" spans="1:17" ht="17.25" customHeight="1" x14ac:dyDescent="0.2">
      <c r="A590" s="113"/>
      <c r="B590" s="134"/>
      <c r="C590" s="59" t="s">
        <v>13</v>
      </c>
      <c r="D590" s="1">
        <f t="shared" si="247"/>
        <v>0</v>
      </c>
      <c r="E590" s="1">
        <f>E610+E620+E635+E646+E652</f>
        <v>0</v>
      </c>
      <c r="F590" s="1">
        <f>F610+F620+F635+F646+F652</f>
        <v>0</v>
      </c>
      <c r="G590" s="1">
        <f>G610+G620+G635+G646+G652</f>
        <v>0</v>
      </c>
      <c r="H590" s="1">
        <f>H610+H620+H635+H646+H652</f>
        <v>0</v>
      </c>
      <c r="I590" s="1">
        <f>I610+I620+I635+I646+I652</f>
        <v>0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1">
        <v>0</v>
      </c>
    </row>
    <row r="591" spans="1:17" ht="15.75" x14ac:dyDescent="0.2">
      <c r="A591" s="108" t="s">
        <v>123</v>
      </c>
      <c r="B591" s="103" t="s">
        <v>152</v>
      </c>
      <c r="C591" s="59" t="s">
        <v>7</v>
      </c>
      <c r="D591" s="1">
        <f>SUM(D592:D595)</f>
        <v>42071.3</v>
      </c>
      <c r="E591" s="1">
        <f t="shared" ref="E591:J591" si="276">SUM(E592:E595)</f>
        <v>42071.3</v>
      </c>
      <c r="F591" s="1">
        <f t="shared" si="276"/>
        <v>0</v>
      </c>
      <c r="G591" s="1">
        <f t="shared" si="276"/>
        <v>0</v>
      </c>
      <c r="H591" s="1">
        <f t="shared" si="276"/>
        <v>0</v>
      </c>
      <c r="I591" s="1">
        <f t="shared" si="276"/>
        <v>0</v>
      </c>
      <c r="J591" s="1">
        <f t="shared" si="276"/>
        <v>0</v>
      </c>
      <c r="K591" s="1">
        <v>0</v>
      </c>
      <c r="L591" s="1">
        <f>SUM(L592:L595)</f>
        <v>0</v>
      </c>
      <c r="M591" s="1">
        <f>SUM(M592:M595)</f>
        <v>0</v>
      </c>
      <c r="N591" s="1">
        <f>SUM(N592:N595)</f>
        <v>0</v>
      </c>
      <c r="O591" s="1">
        <v>0</v>
      </c>
    </row>
    <row r="592" spans="1:17" ht="18.75" customHeight="1" x14ac:dyDescent="0.2">
      <c r="A592" s="113"/>
      <c r="B592" s="103"/>
      <c r="C592" s="59" t="s">
        <v>10</v>
      </c>
      <c r="D592" s="1">
        <v>0</v>
      </c>
      <c r="E592" s="1">
        <v>0</v>
      </c>
      <c r="F592" s="1">
        <v>0</v>
      </c>
      <c r="G592" s="1">
        <v>0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">
        <v>0</v>
      </c>
    </row>
    <row r="593" spans="1:15" ht="17.25" customHeight="1" x14ac:dyDescent="0.2">
      <c r="A593" s="113"/>
      <c r="B593" s="103"/>
      <c r="C593" s="59" t="s">
        <v>11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  <c r="O593" s="3">
        <v>0</v>
      </c>
    </row>
    <row r="594" spans="1:15" ht="17.25" customHeight="1" x14ac:dyDescent="0.2">
      <c r="A594" s="113"/>
      <c r="B594" s="103"/>
      <c r="C594" s="59" t="s">
        <v>12</v>
      </c>
      <c r="D594" s="1">
        <f>SUM(E594:J594)</f>
        <v>42071.3</v>
      </c>
      <c r="E594" s="1">
        <v>42071.3</v>
      </c>
      <c r="F594" s="1">
        <v>0</v>
      </c>
      <c r="G594" s="1">
        <v>0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">
        <v>0</v>
      </c>
    </row>
    <row r="595" spans="1:15" ht="25.5" customHeight="1" x14ac:dyDescent="0.2">
      <c r="A595" s="113"/>
      <c r="B595" s="103"/>
      <c r="C595" s="59" t="s">
        <v>13</v>
      </c>
      <c r="D595" s="1">
        <f>E595+F595+G595+H595+I595+J595</f>
        <v>0</v>
      </c>
      <c r="E595" s="1">
        <v>0</v>
      </c>
      <c r="F595" s="1">
        <v>0</v>
      </c>
      <c r="G595" s="1">
        <v>0</v>
      </c>
      <c r="H595" s="1">
        <v>0</v>
      </c>
      <c r="I595" s="1">
        <v>0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1">
        <v>0</v>
      </c>
    </row>
    <row r="596" spans="1:15" ht="15.75" customHeight="1" x14ac:dyDescent="0.2">
      <c r="A596" s="108" t="s">
        <v>124</v>
      </c>
      <c r="B596" s="103" t="s">
        <v>135</v>
      </c>
      <c r="C596" s="59" t="s">
        <v>7</v>
      </c>
      <c r="D596" s="1">
        <f>E596+F596+G596+H596+I596+J596+K596+L596+M596+N596+O596</f>
        <v>224030.40000000002</v>
      </c>
      <c r="E596" s="1">
        <f t="shared" ref="E596:O596" si="277">SUM(E597:E600)</f>
        <v>0</v>
      </c>
      <c r="F596" s="1">
        <f t="shared" si="277"/>
        <v>52211</v>
      </c>
      <c r="G596" s="1">
        <f t="shared" si="277"/>
        <v>40056.800000000003</v>
      </c>
      <c r="H596" s="1">
        <f t="shared" si="277"/>
        <v>54812.9</v>
      </c>
      <c r="I596" s="1">
        <f t="shared" si="277"/>
        <v>33448.6</v>
      </c>
      <c r="J596" s="1">
        <f t="shared" si="277"/>
        <v>10688.6</v>
      </c>
      <c r="K596" s="1">
        <f t="shared" si="277"/>
        <v>32812.5</v>
      </c>
      <c r="L596" s="1">
        <f t="shared" si="277"/>
        <v>0</v>
      </c>
      <c r="M596" s="1">
        <f t="shared" si="277"/>
        <v>0</v>
      </c>
      <c r="N596" s="1">
        <f t="shared" si="277"/>
        <v>0</v>
      </c>
      <c r="O596" s="1">
        <f t="shared" si="277"/>
        <v>0</v>
      </c>
    </row>
    <row r="597" spans="1:15" ht="15.75" customHeight="1" x14ac:dyDescent="0.2">
      <c r="A597" s="113"/>
      <c r="B597" s="103"/>
      <c r="C597" s="59" t="s">
        <v>10</v>
      </c>
      <c r="D597" s="1">
        <f t="shared" ref="D597:D695" si="278">E597+F597+G597+H597+I597+J597+K597+L597+M597+N597+O597</f>
        <v>0</v>
      </c>
      <c r="E597" s="1">
        <v>0</v>
      </c>
      <c r="F597" s="1">
        <v>0</v>
      </c>
      <c r="G597" s="1">
        <v>0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">
        <v>0</v>
      </c>
    </row>
    <row r="598" spans="1:15" ht="15.75" customHeight="1" x14ac:dyDescent="0.2">
      <c r="A598" s="113"/>
      <c r="B598" s="103"/>
      <c r="C598" s="59" t="s">
        <v>11</v>
      </c>
      <c r="D598" s="1">
        <f t="shared" si="278"/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</row>
    <row r="599" spans="1:15" ht="15.75" customHeight="1" x14ac:dyDescent="0.2">
      <c r="A599" s="113"/>
      <c r="B599" s="103"/>
      <c r="C599" s="59" t="s">
        <v>12</v>
      </c>
      <c r="D599" s="1">
        <f t="shared" si="278"/>
        <v>224030.40000000002</v>
      </c>
      <c r="E599" s="1">
        <v>0</v>
      </c>
      <c r="F599" s="1">
        <v>52211</v>
      </c>
      <c r="G599" s="1">
        <v>40056.800000000003</v>
      </c>
      <c r="H599" s="1">
        <v>54812.9</v>
      </c>
      <c r="I599" s="1">
        <f>33108.6+340</f>
        <v>33448.6</v>
      </c>
      <c r="J599" s="1">
        <f>10688.6-0.1+0.1</f>
        <v>10688.6</v>
      </c>
      <c r="K599" s="1">
        <f>33518.8-706.3</f>
        <v>32812.5</v>
      </c>
      <c r="L599" s="1">
        <v>0</v>
      </c>
      <c r="M599" s="1">
        <v>0</v>
      </c>
      <c r="N599" s="1">
        <v>0</v>
      </c>
      <c r="O599" s="1">
        <v>0</v>
      </c>
    </row>
    <row r="600" spans="1:15" ht="25.5" customHeight="1" x14ac:dyDescent="0.2">
      <c r="A600" s="113"/>
      <c r="B600" s="103"/>
      <c r="C600" s="59" t="s">
        <v>13</v>
      </c>
      <c r="D600" s="1">
        <f t="shared" si="278"/>
        <v>0</v>
      </c>
      <c r="E600" s="1">
        <v>0</v>
      </c>
      <c r="F600" s="1">
        <v>0</v>
      </c>
      <c r="G600" s="1">
        <v>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</row>
    <row r="601" spans="1:15" ht="24" customHeight="1" x14ac:dyDescent="0.2">
      <c r="A601" s="108" t="s">
        <v>125</v>
      </c>
      <c r="B601" s="103" t="s">
        <v>265</v>
      </c>
      <c r="C601" s="59" t="s">
        <v>7</v>
      </c>
      <c r="D601" s="1">
        <f t="shared" si="278"/>
        <v>54854.5</v>
      </c>
      <c r="E601" s="1">
        <f t="shared" ref="E601:O601" si="279">SUM(E602:E605)</f>
        <v>0</v>
      </c>
      <c r="F601" s="1">
        <f t="shared" si="279"/>
        <v>0</v>
      </c>
      <c r="G601" s="1">
        <f t="shared" si="279"/>
        <v>0</v>
      </c>
      <c r="H601" s="1">
        <f t="shared" si="279"/>
        <v>0</v>
      </c>
      <c r="I601" s="1">
        <f t="shared" si="279"/>
        <v>26485.599999999999</v>
      </c>
      <c r="J601" s="1">
        <f t="shared" si="279"/>
        <v>28368.9</v>
      </c>
      <c r="K601" s="1">
        <f t="shared" si="279"/>
        <v>0</v>
      </c>
      <c r="L601" s="1">
        <f t="shared" si="279"/>
        <v>0</v>
      </c>
      <c r="M601" s="1">
        <f t="shared" si="279"/>
        <v>0</v>
      </c>
      <c r="N601" s="1">
        <f t="shared" si="279"/>
        <v>0</v>
      </c>
      <c r="O601" s="1">
        <f t="shared" si="279"/>
        <v>0</v>
      </c>
    </row>
    <row r="602" spans="1:15" ht="24" customHeight="1" x14ac:dyDescent="0.2">
      <c r="A602" s="113"/>
      <c r="B602" s="103"/>
      <c r="C602" s="59" t="s">
        <v>10</v>
      </c>
      <c r="D602" s="1">
        <f t="shared" si="278"/>
        <v>0</v>
      </c>
      <c r="E602" s="1">
        <v>0</v>
      </c>
      <c r="F602" s="1">
        <v>0</v>
      </c>
      <c r="G602" s="1">
        <v>0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</row>
    <row r="603" spans="1:15" ht="24" customHeight="1" x14ac:dyDescent="0.2">
      <c r="A603" s="113"/>
      <c r="B603" s="103"/>
      <c r="C603" s="59" t="s">
        <v>11</v>
      </c>
      <c r="D603" s="1">
        <f t="shared" si="278"/>
        <v>54854.5</v>
      </c>
      <c r="E603" s="3">
        <v>0</v>
      </c>
      <c r="F603" s="3">
        <v>0</v>
      </c>
      <c r="G603" s="3">
        <v>0</v>
      </c>
      <c r="H603" s="3">
        <v>0</v>
      </c>
      <c r="I603" s="3">
        <v>26485.599999999999</v>
      </c>
      <c r="J603" s="3">
        <f>39057.5-10688.6</f>
        <v>28368.9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</row>
    <row r="604" spans="1:15" ht="24" customHeight="1" x14ac:dyDescent="0.2">
      <c r="A604" s="113"/>
      <c r="B604" s="103"/>
      <c r="C604" s="59" t="s">
        <v>12</v>
      </c>
      <c r="D604" s="1">
        <f t="shared" si="278"/>
        <v>0</v>
      </c>
      <c r="E604" s="1">
        <v>0</v>
      </c>
      <c r="F604" s="1">
        <v>0</v>
      </c>
      <c r="G604" s="1">
        <v>0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1">
        <v>0</v>
      </c>
      <c r="O604" s="1">
        <v>0</v>
      </c>
    </row>
    <row r="605" spans="1:15" ht="24" customHeight="1" x14ac:dyDescent="0.2">
      <c r="A605" s="113"/>
      <c r="B605" s="103"/>
      <c r="C605" s="59" t="s">
        <v>13</v>
      </c>
      <c r="D605" s="1">
        <f t="shared" si="278"/>
        <v>0</v>
      </c>
      <c r="E605" s="1">
        <v>0</v>
      </c>
      <c r="F605" s="1">
        <v>0</v>
      </c>
      <c r="G605" s="1">
        <v>0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">
        <v>0</v>
      </c>
    </row>
    <row r="606" spans="1:15" ht="15.75" customHeight="1" x14ac:dyDescent="0.25">
      <c r="A606" s="108" t="s">
        <v>126</v>
      </c>
      <c r="B606" s="103" t="s">
        <v>44</v>
      </c>
      <c r="C606" s="86" t="s">
        <v>7</v>
      </c>
      <c r="D606" s="1">
        <f t="shared" si="278"/>
        <v>457857.39999999997</v>
      </c>
      <c r="E606" s="3">
        <f t="shared" ref="E606:O606" si="280">E607+E608+E609+E610</f>
        <v>47997.7</v>
      </c>
      <c r="F606" s="3">
        <f t="shared" si="280"/>
        <v>54818</v>
      </c>
      <c r="G606" s="3">
        <f>G607+G608+G609+G610</f>
        <v>75015.600000000006</v>
      </c>
      <c r="H606" s="3">
        <f t="shared" si="280"/>
        <v>70853</v>
      </c>
      <c r="I606" s="3">
        <f t="shared" si="280"/>
        <v>74592.900000000009</v>
      </c>
      <c r="J606" s="3">
        <f t="shared" si="280"/>
        <v>77207.3</v>
      </c>
      <c r="K606" s="3">
        <f t="shared" si="280"/>
        <v>53504.3</v>
      </c>
      <c r="L606" s="3">
        <f t="shared" si="280"/>
        <v>1605.8</v>
      </c>
      <c r="M606" s="3">
        <f t="shared" si="280"/>
        <v>1447.7999999999997</v>
      </c>
      <c r="N606" s="3">
        <f t="shared" si="280"/>
        <v>407.5</v>
      </c>
      <c r="O606" s="3">
        <f t="shared" si="280"/>
        <v>407.5</v>
      </c>
    </row>
    <row r="607" spans="1:15" ht="15.75" customHeight="1" x14ac:dyDescent="0.2">
      <c r="A607" s="113"/>
      <c r="B607" s="134"/>
      <c r="C607" s="59" t="s">
        <v>10</v>
      </c>
      <c r="D607" s="1">
        <f t="shared" si="278"/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15" ht="15.75" customHeight="1" x14ac:dyDescent="0.2">
      <c r="A608" s="113"/>
      <c r="B608" s="134"/>
      <c r="C608" s="59" t="s">
        <v>11</v>
      </c>
      <c r="D608" s="1">
        <f t="shared" si="278"/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</row>
    <row r="609" spans="1:17" ht="15.75" customHeight="1" x14ac:dyDescent="0.2">
      <c r="A609" s="113"/>
      <c r="B609" s="134"/>
      <c r="C609" s="59" t="s">
        <v>12</v>
      </c>
      <c r="D609" s="1">
        <f t="shared" si="278"/>
        <v>457857.39999999997</v>
      </c>
      <c r="E609" s="3">
        <v>47997.7</v>
      </c>
      <c r="F609" s="3">
        <v>54818</v>
      </c>
      <c r="G609" s="3">
        <v>75015.600000000006</v>
      </c>
      <c r="H609" s="3">
        <v>70853</v>
      </c>
      <c r="I609" s="3">
        <f>74919.3-326.4</f>
        <v>74592.900000000009</v>
      </c>
      <c r="J609" s="3">
        <f>78197.5-990.2</f>
        <v>77207.3</v>
      </c>
      <c r="K609" s="3">
        <f>83504.3-30000</f>
        <v>53504.3</v>
      </c>
      <c r="L609" s="3">
        <f>1664.8-59</f>
        <v>1605.8</v>
      </c>
      <c r="M609" s="3">
        <f>1835.8-1446.2+471.3+70.8+516.1</f>
        <v>1447.7999999999997</v>
      </c>
      <c r="N609" s="3">
        <f>1918.6-1511.1</f>
        <v>407.5</v>
      </c>
      <c r="O609" s="3">
        <f>1918.6-1511.1</f>
        <v>407.5</v>
      </c>
    </row>
    <row r="610" spans="1:17" ht="15.75" customHeight="1" x14ac:dyDescent="0.2">
      <c r="A610" s="113"/>
      <c r="B610" s="134"/>
      <c r="C610" s="59" t="s">
        <v>13</v>
      </c>
      <c r="D610" s="1">
        <f t="shared" si="278"/>
        <v>0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  <c r="O610" s="3">
        <v>0</v>
      </c>
    </row>
    <row r="611" spans="1:17" ht="17.25" customHeight="1" x14ac:dyDescent="0.25">
      <c r="A611" s="97" t="s">
        <v>127</v>
      </c>
      <c r="B611" s="108" t="s">
        <v>153</v>
      </c>
      <c r="C611" s="86" t="s">
        <v>7</v>
      </c>
      <c r="D611" s="1">
        <f t="shared" si="278"/>
        <v>25746.6</v>
      </c>
      <c r="E611" s="3">
        <f t="shared" ref="E611:K611" si="281">E612+E613+E614+E615</f>
        <v>25746.6</v>
      </c>
      <c r="F611" s="3">
        <f t="shared" si="281"/>
        <v>0</v>
      </c>
      <c r="G611" s="3">
        <f t="shared" si="281"/>
        <v>0</v>
      </c>
      <c r="H611" s="3">
        <f t="shared" si="281"/>
        <v>0</v>
      </c>
      <c r="I611" s="3">
        <f t="shared" si="281"/>
        <v>0</v>
      </c>
      <c r="J611" s="3">
        <f t="shared" si="281"/>
        <v>0</v>
      </c>
      <c r="K611" s="3">
        <f t="shared" si="281"/>
        <v>0</v>
      </c>
      <c r="L611" s="3">
        <f>L612+L613+L614+L615</f>
        <v>0</v>
      </c>
      <c r="M611" s="3">
        <f>M612+M613+M614+M615</f>
        <v>0</v>
      </c>
      <c r="N611" s="3">
        <f>N612+N613+N614+N615</f>
        <v>0</v>
      </c>
      <c r="O611" s="3">
        <f>O612+O613+O614+O615</f>
        <v>0</v>
      </c>
    </row>
    <row r="612" spans="1:17" ht="17.25" customHeight="1" x14ac:dyDescent="0.2">
      <c r="A612" s="130"/>
      <c r="B612" s="134"/>
      <c r="C612" s="59" t="s">
        <v>10</v>
      </c>
      <c r="D612" s="1">
        <f t="shared" si="278"/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  <c r="O612" s="3">
        <v>0</v>
      </c>
    </row>
    <row r="613" spans="1:17" ht="18" customHeight="1" x14ac:dyDescent="0.2">
      <c r="A613" s="130"/>
      <c r="B613" s="134"/>
      <c r="C613" s="59" t="s">
        <v>11</v>
      </c>
      <c r="D613" s="1">
        <f t="shared" si="278"/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</row>
    <row r="614" spans="1:17" ht="15.75" customHeight="1" x14ac:dyDescent="0.2">
      <c r="A614" s="130"/>
      <c r="B614" s="134"/>
      <c r="C614" s="59" t="s">
        <v>12</v>
      </c>
      <c r="D614" s="1">
        <f t="shared" si="278"/>
        <v>25746.6</v>
      </c>
      <c r="E614" s="3">
        <v>25746.6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17" ht="33.75" customHeight="1" x14ac:dyDescent="0.2">
      <c r="A615" s="131"/>
      <c r="B615" s="134"/>
      <c r="C615" s="59" t="s">
        <v>13</v>
      </c>
      <c r="D615" s="1">
        <f t="shared" si="278"/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  <c r="O615" s="3">
        <v>0</v>
      </c>
    </row>
    <row r="616" spans="1:17" ht="15.75" x14ac:dyDescent="0.2">
      <c r="A616" s="108" t="s">
        <v>128</v>
      </c>
      <c r="B616" s="103" t="s">
        <v>136</v>
      </c>
      <c r="C616" s="83" t="s">
        <v>7</v>
      </c>
      <c r="D616" s="1">
        <f>E616+F616+G616+H616+I616+J616+K616+L616+M616+N616+O616</f>
        <v>342354.50000000006</v>
      </c>
      <c r="E616" s="3">
        <f t="shared" ref="E616:J616" si="282">SUM(E617:E620)</f>
        <v>0</v>
      </c>
      <c r="F616" s="3">
        <f t="shared" si="282"/>
        <v>36667.5</v>
      </c>
      <c r="G616" s="3">
        <f t="shared" si="282"/>
        <v>33267.5</v>
      </c>
      <c r="H616" s="3">
        <f t="shared" si="282"/>
        <v>35169.599999999999</v>
      </c>
      <c r="I616" s="3">
        <f t="shared" si="282"/>
        <v>22060.600000000002</v>
      </c>
      <c r="J616" s="3">
        <f t="shared" si="282"/>
        <v>19768.5</v>
      </c>
      <c r="K616" s="3">
        <f>SUM(K617:K620)</f>
        <v>46323.700000000004</v>
      </c>
      <c r="L616" s="3">
        <f>SUM(L617:L620)</f>
        <v>56144.700000000004</v>
      </c>
      <c r="M616" s="3">
        <f>SUM(M617:M620)</f>
        <v>27834.700000000004</v>
      </c>
      <c r="N616" s="3">
        <f>SUM(N617:N620)</f>
        <v>32800.9</v>
      </c>
      <c r="O616" s="3">
        <f>SUM(O617:O620)</f>
        <v>32316.800000000003</v>
      </c>
    </row>
    <row r="617" spans="1:17" ht="15.75" customHeight="1" x14ac:dyDescent="0.2">
      <c r="A617" s="113"/>
      <c r="B617" s="132"/>
      <c r="C617" s="59" t="s">
        <v>10</v>
      </c>
      <c r="D617" s="1">
        <f t="shared" si="278"/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  <c r="N617" s="3">
        <v>0</v>
      </c>
      <c r="O617" s="3">
        <v>0</v>
      </c>
    </row>
    <row r="618" spans="1:17" ht="15.75" customHeight="1" x14ac:dyDescent="0.2">
      <c r="A618" s="113"/>
      <c r="B618" s="132"/>
      <c r="C618" s="59" t="s">
        <v>11</v>
      </c>
      <c r="D618" s="1">
        <f t="shared" si="278"/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</row>
    <row r="619" spans="1:17" ht="15.75" customHeight="1" x14ac:dyDescent="0.2">
      <c r="A619" s="113"/>
      <c r="B619" s="132"/>
      <c r="C619" s="59" t="s">
        <v>12</v>
      </c>
      <c r="D619" s="1">
        <f t="shared" si="278"/>
        <v>342354.50000000006</v>
      </c>
      <c r="E619" s="3">
        <v>0</v>
      </c>
      <c r="F619" s="3">
        <v>36667.5</v>
      </c>
      <c r="G619" s="3">
        <v>33267.5</v>
      </c>
      <c r="H619" s="3">
        <v>35169.599999999999</v>
      </c>
      <c r="I619" s="3">
        <f>23852.9-1792.3</f>
        <v>22060.600000000002</v>
      </c>
      <c r="J619" s="3">
        <f>28768.5-9000</f>
        <v>19768.5</v>
      </c>
      <c r="K619" s="3">
        <f>29083+5516.8+7690+4019.9+14</f>
        <v>46323.700000000004</v>
      </c>
      <c r="L619" s="3">
        <f>34599.8+8000+6572.8+59+6913.1</f>
        <v>56144.700000000004</v>
      </c>
      <c r="M619" s="3">
        <f>35983.8-8149.1</f>
        <v>27834.700000000004</v>
      </c>
      <c r="N619" s="3">
        <f>37423.1-4622.2</f>
        <v>32800.9</v>
      </c>
      <c r="O619" s="3">
        <f>87586.3-55269.5</f>
        <v>32316.800000000003</v>
      </c>
    </row>
    <row r="620" spans="1:17" ht="21.75" customHeight="1" x14ac:dyDescent="0.2">
      <c r="A620" s="113"/>
      <c r="B620" s="132"/>
      <c r="C620" s="59" t="s">
        <v>13</v>
      </c>
      <c r="D620" s="1">
        <f t="shared" si="278"/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  <c r="O620" s="3">
        <v>0</v>
      </c>
    </row>
    <row r="621" spans="1:17" ht="22.5" customHeight="1" x14ac:dyDescent="0.25">
      <c r="A621" s="108" t="s">
        <v>205</v>
      </c>
      <c r="B621" s="103" t="s">
        <v>364</v>
      </c>
      <c r="C621" s="86" t="s">
        <v>7</v>
      </c>
      <c r="D621" s="1">
        <f>E621+F621+G621+H621+I621+J621+K621+L621+M621+N621+O621</f>
        <v>32005.9</v>
      </c>
      <c r="E621" s="3">
        <f t="shared" ref="E621:K621" si="283">SUM(E622:E625)</f>
        <v>0</v>
      </c>
      <c r="F621" s="3">
        <f t="shared" si="283"/>
        <v>0</v>
      </c>
      <c r="G621" s="3">
        <f t="shared" si="283"/>
        <v>0</v>
      </c>
      <c r="H621" s="3">
        <f t="shared" si="283"/>
        <v>0</v>
      </c>
      <c r="I621" s="3">
        <f t="shared" si="283"/>
        <v>22691.4</v>
      </c>
      <c r="J621" s="3">
        <f t="shared" si="283"/>
        <v>9314.5</v>
      </c>
      <c r="K621" s="3">
        <f t="shared" si="283"/>
        <v>0</v>
      </c>
      <c r="L621" s="3">
        <f>SUM(L622:L625)</f>
        <v>0</v>
      </c>
      <c r="M621" s="3">
        <f>SUM(M622:M625)</f>
        <v>0</v>
      </c>
      <c r="N621" s="3">
        <f>SUM(N622:N625)</f>
        <v>0</v>
      </c>
      <c r="O621" s="3">
        <f>SUM(O622:O625)</f>
        <v>0</v>
      </c>
      <c r="P621" s="63">
        <f>I619+I623</f>
        <v>44752</v>
      </c>
      <c r="Q621" s="63"/>
    </row>
    <row r="622" spans="1:17" ht="22.5" customHeight="1" x14ac:dyDescent="0.2">
      <c r="A622" s="113"/>
      <c r="B622" s="132"/>
      <c r="C622" s="59" t="s">
        <v>10</v>
      </c>
      <c r="D622" s="1">
        <f t="shared" si="278"/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</row>
    <row r="623" spans="1:17" ht="22.5" customHeight="1" x14ac:dyDescent="0.2">
      <c r="A623" s="113"/>
      <c r="B623" s="132"/>
      <c r="C623" s="59" t="s">
        <v>11</v>
      </c>
      <c r="D623" s="1">
        <f t="shared" si="278"/>
        <v>32005.9</v>
      </c>
      <c r="E623" s="3">
        <v>0</v>
      </c>
      <c r="F623" s="3">
        <v>0</v>
      </c>
      <c r="G623" s="3">
        <v>0</v>
      </c>
      <c r="H623" s="3">
        <v>0</v>
      </c>
      <c r="I623" s="3">
        <v>22691.4</v>
      </c>
      <c r="J623" s="3">
        <f>38083-28768.5</f>
        <v>9314.5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</row>
    <row r="624" spans="1:17" ht="22.5" customHeight="1" x14ac:dyDescent="0.2">
      <c r="A624" s="113"/>
      <c r="B624" s="132"/>
      <c r="C624" s="59" t="s">
        <v>12</v>
      </c>
      <c r="D624" s="1">
        <f t="shared" si="278"/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</row>
    <row r="625" spans="1:15" ht="22.5" customHeight="1" x14ac:dyDescent="0.2">
      <c r="A625" s="113"/>
      <c r="B625" s="132"/>
      <c r="C625" s="59" t="s">
        <v>13</v>
      </c>
      <c r="D625" s="1">
        <f t="shared" si="278"/>
        <v>0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  <c r="O625" s="3">
        <v>0</v>
      </c>
    </row>
    <row r="626" spans="1:15" ht="23.25" customHeight="1" x14ac:dyDescent="0.2">
      <c r="A626" s="108" t="s">
        <v>206</v>
      </c>
      <c r="B626" s="103" t="s">
        <v>228</v>
      </c>
      <c r="C626" s="59" t="s">
        <v>7</v>
      </c>
      <c r="D626" s="1">
        <f t="shared" si="278"/>
        <v>62441</v>
      </c>
      <c r="E626" s="3">
        <f t="shared" ref="E626:K626" si="284">SUM(E627:E630)</f>
        <v>62441</v>
      </c>
      <c r="F626" s="3">
        <f t="shared" si="284"/>
        <v>0</v>
      </c>
      <c r="G626" s="3">
        <f t="shared" si="284"/>
        <v>0</v>
      </c>
      <c r="H626" s="3">
        <f t="shared" si="284"/>
        <v>0</v>
      </c>
      <c r="I626" s="3">
        <f t="shared" si="284"/>
        <v>0</v>
      </c>
      <c r="J626" s="3">
        <f t="shared" si="284"/>
        <v>0</v>
      </c>
      <c r="K626" s="3">
        <f t="shared" si="284"/>
        <v>0</v>
      </c>
      <c r="L626" s="3">
        <f>SUM(L627:L630)</f>
        <v>0</v>
      </c>
      <c r="M626" s="3">
        <f>SUM(M627:M630)</f>
        <v>0</v>
      </c>
      <c r="N626" s="3">
        <f>SUM(N627:N630)</f>
        <v>0</v>
      </c>
      <c r="O626" s="3">
        <f>SUM(O627:O630)</f>
        <v>0</v>
      </c>
    </row>
    <row r="627" spans="1:15" ht="23.25" customHeight="1" x14ac:dyDescent="0.2">
      <c r="A627" s="113"/>
      <c r="B627" s="103"/>
      <c r="C627" s="59" t="s">
        <v>10</v>
      </c>
      <c r="D627" s="1">
        <f t="shared" si="278"/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0</v>
      </c>
      <c r="O627" s="3">
        <v>0</v>
      </c>
    </row>
    <row r="628" spans="1:15" ht="23.25" customHeight="1" x14ac:dyDescent="0.2">
      <c r="A628" s="113"/>
      <c r="B628" s="103"/>
      <c r="C628" s="59" t="s">
        <v>11</v>
      </c>
      <c r="D628" s="1">
        <f t="shared" si="278"/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5" ht="23.25" customHeight="1" x14ac:dyDescent="0.2">
      <c r="A629" s="113"/>
      <c r="B629" s="103"/>
      <c r="C629" s="59" t="s">
        <v>12</v>
      </c>
      <c r="D629" s="1">
        <f t="shared" si="278"/>
        <v>62441</v>
      </c>
      <c r="E629" s="3">
        <v>62441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5" ht="23.25" customHeight="1" x14ac:dyDescent="0.2">
      <c r="A630" s="113"/>
      <c r="B630" s="103"/>
      <c r="C630" s="59" t="s">
        <v>13</v>
      </c>
      <c r="D630" s="1">
        <f t="shared" si="278"/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  <c r="N630" s="3">
        <v>0</v>
      </c>
      <c r="O630" s="3">
        <v>0</v>
      </c>
    </row>
    <row r="631" spans="1:15" ht="24.75" customHeight="1" x14ac:dyDescent="0.2">
      <c r="A631" s="108" t="s">
        <v>207</v>
      </c>
      <c r="B631" s="103" t="s">
        <v>443</v>
      </c>
      <c r="C631" s="59" t="s">
        <v>7</v>
      </c>
      <c r="D631" s="1">
        <f>E631+F631+G631+H631+I631+J631+K631+L631+M631+N631+O631</f>
        <v>584514.4</v>
      </c>
      <c r="E631" s="3">
        <f t="shared" ref="E631:O631" si="285">SUM(E632:E635)</f>
        <v>1932.4</v>
      </c>
      <c r="F631" s="3">
        <f t="shared" si="285"/>
        <v>76373.399999999994</v>
      </c>
      <c r="G631" s="3">
        <f t="shared" si="285"/>
        <v>73973.399999999994</v>
      </c>
      <c r="H631" s="3">
        <f t="shared" si="285"/>
        <v>75506</v>
      </c>
      <c r="I631" s="3">
        <f t="shared" si="285"/>
        <v>14907.4</v>
      </c>
      <c r="J631" s="3">
        <f t="shared" si="285"/>
        <v>34818.300000000003</v>
      </c>
      <c r="K631" s="3">
        <f t="shared" si="285"/>
        <v>103745.79999999999</v>
      </c>
      <c r="L631" s="3">
        <f t="shared" si="285"/>
        <v>94719.7</v>
      </c>
      <c r="M631" s="3">
        <f t="shared" si="285"/>
        <v>30536.799999999988</v>
      </c>
      <c r="N631" s="3">
        <f t="shared" si="285"/>
        <v>39434.299999999996</v>
      </c>
      <c r="O631" s="3">
        <f t="shared" si="285"/>
        <v>38566.899999999987</v>
      </c>
    </row>
    <row r="632" spans="1:15" ht="24.75" customHeight="1" x14ac:dyDescent="0.2">
      <c r="A632" s="113"/>
      <c r="B632" s="103"/>
      <c r="C632" s="59" t="s">
        <v>10</v>
      </c>
      <c r="D632" s="1">
        <f t="shared" si="278"/>
        <v>0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</row>
    <row r="633" spans="1:15" ht="24.75" customHeight="1" x14ac:dyDescent="0.2">
      <c r="A633" s="113"/>
      <c r="B633" s="103"/>
      <c r="C633" s="59" t="s">
        <v>11</v>
      </c>
      <c r="D633" s="1">
        <f t="shared" si="278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5" ht="24.75" customHeight="1" x14ac:dyDescent="0.2">
      <c r="A634" s="113"/>
      <c r="B634" s="103"/>
      <c r="C634" s="59" t="s">
        <v>12</v>
      </c>
      <c r="D634" s="1">
        <f t="shared" si="278"/>
        <v>584514.4</v>
      </c>
      <c r="E634" s="3">
        <v>1932.4</v>
      </c>
      <c r="F634" s="3">
        <v>76373.399999999994</v>
      </c>
      <c r="G634" s="3">
        <v>73973.399999999994</v>
      </c>
      <c r="H634" s="3">
        <v>75506</v>
      </c>
      <c r="I634" s="3">
        <f>21398.5-6491.1</f>
        <v>14907.4</v>
      </c>
      <c r="J634" s="3">
        <f>42143.1-20000+4043.7+8631.5</f>
        <v>34818.300000000003</v>
      </c>
      <c r="K634" s="3">
        <f>62603+5000+2210.9+4495+16930+12506.9</f>
        <v>103745.79999999999</v>
      </c>
      <c r="L634" s="3">
        <f>72098+61.2+16000-1839.5+8400</f>
        <v>94719.7</v>
      </c>
      <c r="M634" s="3">
        <f>74981.9-6930.1-9269.9-8913-19332.1</f>
        <v>30536.799999999988</v>
      </c>
      <c r="N634" s="3">
        <f>77981.2-7311.3-11903.5-19332.1</f>
        <v>39434.299999999996</v>
      </c>
      <c r="O634" s="3">
        <f>141380.3-83481.3-19332.1</f>
        <v>38566.899999999987</v>
      </c>
    </row>
    <row r="635" spans="1:15" ht="44.25" customHeight="1" x14ac:dyDescent="0.2">
      <c r="A635" s="113"/>
      <c r="B635" s="103"/>
      <c r="C635" s="59" t="s">
        <v>13</v>
      </c>
      <c r="D635" s="1">
        <f t="shared" si="278"/>
        <v>0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</row>
    <row r="636" spans="1:15" ht="33" customHeight="1" x14ac:dyDescent="0.2">
      <c r="A636" s="108" t="s">
        <v>231</v>
      </c>
      <c r="B636" s="103" t="s">
        <v>361</v>
      </c>
      <c r="C636" s="59" t="s">
        <v>7</v>
      </c>
      <c r="D636" s="1">
        <f>E636+F636+G636+H636+I636+J636+K636+L636+M636+N636+O636</f>
        <v>91947.5</v>
      </c>
      <c r="E636" s="3">
        <f t="shared" ref="E636:O636" si="286">SUM(E637:E640)</f>
        <v>0</v>
      </c>
      <c r="F636" s="3">
        <f t="shared" si="286"/>
        <v>0</v>
      </c>
      <c r="G636" s="3">
        <f t="shared" si="286"/>
        <v>0</v>
      </c>
      <c r="H636" s="3">
        <f t="shared" si="286"/>
        <v>0</v>
      </c>
      <c r="I636" s="3">
        <f>SUM(I637:I640)</f>
        <v>60576.7</v>
      </c>
      <c r="J636" s="3">
        <f t="shared" si="286"/>
        <v>31370.799999999996</v>
      </c>
      <c r="K636" s="3">
        <f t="shared" si="286"/>
        <v>0</v>
      </c>
      <c r="L636" s="3">
        <f t="shared" si="286"/>
        <v>0</v>
      </c>
      <c r="M636" s="3">
        <f t="shared" si="286"/>
        <v>0</v>
      </c>
      <c r="N636" s="3">
        <f t="shared" si="286"/>
        <v>0</v>
      </c>
      <c r="O636" s="3">
        <f t="shared" si="286"/>
        <v>0</v>
      </c>
    </row>
    <row r="637" spans="1:15" ht="33" customHeight="1" x14ac:dyDescent="0.2">
      <c r="A637" s="113"/>
      <c r="B637" s="103"/>
      <c r="C637" s="59" t="s">
        <v>10</v>
      </c>
      <c r="D637" s="1">
        <f t="shared" si="278"/>
        <v>0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  <c r="O637" s="3">
        <v>0</v>
      </c>
    </row>
    <row r="638" spans="1:15" ht="33" customHeight="1" x14ac:dyDescent="0.2">
      <c r="A638" s="113"/>
      <c r="B638" s="103"/>
      <c r="C638" s="59" t="s">
        <v>11</v>
      </c>
      <c r="D638" s="1">
        <f t="shared" si="278"/>
        <v>91947.5</v>
      </c>
      <c r="E638" s="3">
        <v>0</v>
      </c>
      <c r="F638" s="3">
        <v>0</v>
      </c>
      <c r="G638" s="3">
        <v>0</v>
      </c>
      <c r="H638" s="3">
        <v>0</v>
      </c>
      <c r="I638" s="3">
        <v>60576.7</v>
      </c>
      <c r="J638" s="3">
        <f>73513.9-42143.1</f>
        <v>31370.799999999996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5" ht="33" customHeight="1" x14ac:dyDescent="0.2">
      <c r="A639" s="113"/>
      <c r="B639" s="103"/>
      <c r="C639" s="59" t="s">
        <v>12</v>
      </c>
      <c r="D639" s="1">
        <f t="shared" si="278"/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5" ht="33" customHeight="1" x14ac:dyDescent="0.2">
      <c r="A640" s="113"/>
      <c r="B640" s="103"/>
      <c r="C640" s="59" t="s">
        <v>13</v>
      </c>
      <c r="D640" s="1">
        <f t="shared" si="278"/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  <c r="O640" s="3">
        <v>0</v>
      </c>
    </row>
    <row r="641" spans="1:26" ht="17.25" customHeight="1" x14ac:dyDescent="0.2">
      <c r="A641" s="108" t="s">
        <v>266</v>
      </c>
      <c r="B641" s="138" t="s">
        <v>53</v>
      </c>
      <c r="C641" s="59" t="s">
        <v>7</v>
      </c>
      <c r="D641" s="1">
        <f t="shared" si="278"/>
        <v>256080.16199999998</v>
      </c>
      <c r="E641" s="3">
        <f>E644+E643+E642+E646</f>
        <v>19291.8</v>
      </c>
      <c r="F641" s="3">
        <f t="shared" ref="F641:K641" si="287">SUM(F642:F646)</f>
        <v>23807.200000000001</v>
      </c>
      <c r="G641" s="3">
        <f t="shared" si="287"/>
        <v>28234.6</v>
      </c>
      <c r="H641" s="3">
        <f t="shared" si="287"/>
        <v>22369.4</v>
      </c>
      <c r="I641" s="3">
        <f t="shared" si="287"/>
        <v>22792.7</v>
      </c>
      <c r="J641" s="3">
        <f t="shared" si="287"/>
        <v>25918.3</v>
      </c>
      <c r="K641" s="3">
        <f t="shared" si="287"/>
        <v>42433.862000000001</v>
      </c>
      <c r="L641" s="3">
        <f>SUM(L642:L646)</f>
        <v>35783.599999999999</v>
      </c>
      <c r="M641" s="3">
        <f>SUM(M642:M646)</f>
        <v>14525.299999999997</v>
      </c>
      <c r="N641" s="3">
        <f>SUM(N642:N646)</f>
        <v>10539.5</v>
      </c>
      <c r="O641" s="3">
        <f>SUM(O642:O646)</f>
        <v>10383.900000000001</v>
      </c>
    </row>
    <row r="642" spans="1:26" ht="15.75" x14ac:dyDescent="0.2">
      <c r="A642" s="108"/>
      <c r="B642" s="157"/>
      <c r="C642" s="59" t="s">
        <v>10</v>
      </c>
      <c r="D642" s="1">
        <f t="shared" si="278"/>
        <v>0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</row>
    <row r="643" spans="1:26" ht="15.75" x14ac:dyDescent="0.2">
      <c r="A643" s="108"/>
      <c r="B643" s="157"/>
      <c r="C643" s="59" t="s">
        <v>11</v>
      </c>
      <c r="D643" s="1">
        <f t="shared" si="278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26" ht="15.75" x14ac:dyDescent="0.2">
      <c r="A644" s="108"/>
      <c r="B644" s="157"/>
      <c r="C644" s="59" t="s">
        <v>12</v>
      </c>
      <c r="D644" s="1">
        <f t="shared" si="278"/>
        <v>256080.16199999998</v>
      </c>
      <c r="E644" s="3">
        <v>19291.8</v>
      </c>
      <c r="F644" s="3">
        <v>23807.200000000001</v>
      </c>
      <c r="G644" s="3">
        <v>28234.6</v>
      </c>
      <c r="H644" s="3">
        <v>22369.4</v>
      </c>
      <c r="I644" s="3">
        <v>22792.7</v>
      </c>
      <c r="J644" s="3">
        <f>18632.6-10699.7+10699.7+882.9+4000+4000-1000-597.2</f>
        <v>25918.3</v>
      </c>
      <c r="K644" s="3">
        <f>11060+1000+77+720.212+320+757+1740.4+2283.7+17440.1-2283.7-17440.1+5201.8-555.089+0.089+15000+9149.5+77-1950-71.45-90-74+71.4</f>
        <v>42433.862000000001</v>
      </c>
      <c r="L644" s="3">
        <f>12252.7+7988.6-400+40.6+400+1380.6+2120.3+11056+181.4+56.6+7239+266.5+51.2-1300-90.5-6000+540.6</f>
        <v>35783.599999999999</v>
      </c>
      <c r="M644" s="3">
        <f>9475.8-9269.9+9269.9-1299.3-471.3+854+155.6+3000+315.3+1290.5+129.3-43.6+277.9+841.1</f>
        <v>14525.299999999997</v>
      </c>
      <c r="N644" s="3">
        <f>9522.1+1017.4</f>
        <v>10539.5</v>
      </c>
      <c r="O644" s="3">
        <f>28657.9-18274</f>
        <v>10383.900000000001</v>
      </c>
      <c r="X644" s="63"/>
      <c r="Y644" s="63"/>
      <c r="Z644" s="63"/>
    </row>
    <row r="645" spans="1:26" ht="31.5" customHeight="1" x14ac:dyDescent="0.2">
      <c r="A645" s="108"/>
      <c r="B645" s="157"/>
      <c r="C645" s="74" t="s">
        <v>79</v>
      </c>
      <c r="D645" s="73">
        <f t="shared" si="278"/>
        <v>1874.1</v>
      </c>
      <c r="E645" s="87">
        <v>1874.1</v>
      </c>
      <c r="F645" s="87">
        <v>0</v>
      </c>
      <c r="G645" s="87">
        <v>0</v>
      </c>
      <c r="H645" s="87">
        <v>0</v>
      </c>
      <c r="I645" s="87">
        <v>0</v>
      </c>
      <c r="J645" s="87">
        <v>0</v>
      </c>
      <c r="K645" s="87">
        <v>0</v>
      </c>
      <c r="L645" s="87">
        <v>0</v>
      </c>
      <c r="M645" s="87">
        <v>0</v>
      </c>
      <c r="N645" s="87">
        <v>0</v>
      </c>
      <c r="O645" s="87">
        <v>0</v>
      </c>
    </row>
    <row r="646" spans="1:26" ht="15.75" x14ac:dyDescent="0.2">
      <c r="A646" s="108"/>
      <c r="B646" s="158"/>
      <c r="C646" s="59" t="s">
        <v>13</v>
      </c>
      <c r="D646" s="1">
        <f t="shared" si="278"/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26" ht="21" customHeight="1" x14ac:dyDescent="0.2">
      <c r="A647" s="108" t="s">
        <v>267</v>
      </c>
      <c r="B647" s="103" t="s">
        <v>250</v>
      </c>
      <c r="C647" s="59" t="s">
        <v>7</v>
      </c>
      <c r="D647" s="1">
        <f t="shared" si="278"/>
        <v>144488.4</v>
      </c>
      <c r="E647" s="3">
        <f t="shared" ref="E647:O647" si="288">E648+E649+E650+E652</f>
        <v>28675.9</v>
      </c>
      <c r="F647" s="3">
        <f t="shared" si="288"/>
        <v>35910.699999999997</v>
      </c>
      <c r="G647" s="3">
        <f t="shared" si="288"/>
        <v>6899.6</v>
      </c>
      <c r="H647" s="3">
        <f t="shared" si="288"/>
        <v>8413.2000000000007</v>
      </c>
      <c r="I647" s="3">
        <f t="shared" si="288"/>
        <v>18601.100000000002</v>
      </c>
      <c r="J647" s="3">
        <f t="shared" si="288"/>
        <v>9981.3000000000011</v>
      </c>
      <c r="K647" s="3">
        <f t="shared" si="288"/>
        <v>18751</v>
      </c>
      <c r="L647" s="3">
        <f t="shared" si="288"/>
        <v>17255.599999999999</v>
      </c>
      <c r="M647" s="3">
        <f t="shared" si="288"/>
        <v>0</v>
      </c>
      <c r="N647" s="3">
        <f t="shared" si="288"/>
        <v>0</v>
      </c>
      <c r="O647" s="3">
        <f t="shared" si="288"/>
        <v>0</v>
      </c>
    </row>
    <row r="648" spans="1:26" ht="21" customHeight="1" x14ac:dyDescent="0.2">
      <c r="A648" s="108"/>
      <c r="B648" s="132"/>
      <c r="C648" s="59" t="s">
        <v>10</v>
      </c>
      <c r="D648" s="1">
        <f t="shared" si="278"/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</row>
    <row r="649" spans="1:26" ht="21" customHeight="1" x14ac:dyDescent="0.2">
      <c r="A649" s="108"/>
      <c r="B649" s="132"/>
      <c r="C649" s="59" t="s">
        <v>11</v>
      </c>
      <c r="D649" s="1">
        <f t="shared" si="278"/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</row>
    <row r="650" spans="1:26" ht="33" customHeight="1" x14ac:dyDescent="0.2">
      <c r="A650" s="108"/>
      <c r="B650" s="132"/>
      <c r="C650" s="59" t="s">
        <v>65</v>
      </c>
      <c r="D650" s="1">
        <f t="shared" si="278"/>
        <v>144488.4</v>
      </c>
      <c r="E650" s="3">
        <f>E651</f>
        <v>28675.9</v>
      </c>
      <c r="F650" s="3">
        <v>35910.699999999997</v>
      </c>
      <c r="G650" s="3">
        <v>6899.6</v>
      </c>
      <c r="H650" s="3">
        <v>8413.2000000000007</v>
      </c>
      <c r="I650" s="3">
        <f>20814-605.6-1607.3</f>
        <v>18601.100000000002</v>
      </c>
      <c r="J650" s="3">
        <f>15000+5950-3250+1905.9-9574.5+50-100.2+0.1</f>
        <v>9981.3000000000011</v>
      </c>
      <c r="K650" s="3">
        <f>20300-1400-149+18659.2-6396.3-12262.8-0.1</f>
        <v>18751</v>
      </c>
      <c r="L650" s="3">
        <f>21000-700*4-700+700-248.4-200-160-270-66</f>
        <v>17255.599999999999</v>
      </c>
      <c r="M650" s="3">
        <f>12594.4-12594.4</f>
        <v>0</v>
      </c>
      <c r="N650" s="3">
        <f>12655.9-12655.9</f>
        <v>0</v>
      </c>
      <c r="O650" s="3">
        <f>15000-15000</f>
        <v>0</v>
      </c>
    </row>
    <row r="651" spans="1:26" ht="30.75" customHeight="1" x14ac:dyDescent="0.2">
      <c r="A651" s="108"/>
      <c r="B651" s="132"/>
      <c r="C651" s="76" t="s">
        <v>79</v>
      </c>
      <c r="D651" s="73">
        <f t="shared" si="278"/>
        <v>57175.9</v>
      </c>
      <c r="E651" s="87">
        <v>28675.9</v>
      </c>
      <c r="F651" s="87">
        <v>28500</v>
      </c>
      <c r="G651" s="87">
        <v>0</v>
      </c>
      <c r="H651" s="87">
        <v>0</v>
      </c>
      <c r="I651" s="87">
        <v>0</v>
      </c>
      <c r="J651" s="87">
        <v>0</v>
      </c>
      <c r="K651" s="87">
        <v>0</v>
      </c>
      <c r="L651" s="87">
        <v>0</v>
      </c>
      <c r="M651" s="87">
        <v>0</v>
      </c>
      <c r="N651" s="87">
        <v>0</v>
      </c>
      <c r="O651" s="87">
        <v>0</v>
      </c>
    </row>
    <row r="652" spans="1:26" ht="21" customHeight="1" x14ac:dyDescent="0.2">
      <c r="A652" s="108"/>
      <c r="B652" s="132"/>
      <c r="C652" s="59" t="s">
        <v>13</v>
      </c>
      <c r="D652" s="1">
        <f t="shared" si="278"/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  <c r="O652" s="3">
        <v>0</v>
      </c>
    </row>
    <row r="653" spans="1:26" ht="15.75" x14ac:dyDescent="0.2">
      <c r="A653" s="108" t="s">
        <v>268</v>
      </c>
      <c r="B653" s="108" t="s">
        <v>242</v>
      </c>
      <c r="C653" s="83" t="s">
        <v>7</v>
      </c>
      <c r="D653" s="1">
        <f t="shared" si="278"/>
        <v>951</v>
      </c>
      <c r="E653" s="3">
        <f>E654+E655+E656+E657</f>
        <v>0</v>
      </c>
      <c r="F653" s="3">
        <f t="shared" ref="F653:K653" si="289">F654+F655+F656+F657</f>
        <v>0</v>
      </c>
      <c r="G653" s="3">
        <f t="shared" si="289"/>
        <v>347.6</v>
      </c>
      <c r="H653" s="3">
        <f t="shared" si="289"/>
        <v>589.4</v>
      </c>
      <c r="I653" s="3">
        <f t="shared" si="289"/>
        <v>14</v>
      </c>
      <c r="J653" s="3">
        <f t="shared" si="289"/>
        <v>0</v>
      </c>
      <c r="K653" s="3">
        <f t="shared" si="289"/>
        <v>0</v>
      </c>
      <c r="L653" s="3">
        <f>L654+L655+L656+L657</f>
        <v>0</v>
      </c>
      <c r="M653" s="3">
        <f>M654+M655+M656+M657</f>
        <v>0</v>
      </c>
      <c r="N653" s="3">
        <f>N654+N655+N656+N657</f>
        <v>0</v>
      </c>
      <c r="O653" s="3">
        <f>O654+O655+O656+O657</f>
        <v>0</v>
      </c>
    </row>
    <row r="654" spans="1:26" ht="15.75" x14ac:dyDescent="0.2">
      <c r="A654" s="108"/>
      <c r="B654" s="108"/>
      <c r="C654" s="59" t="s">
        <v>10</v>
      </c>
      <c r="D654" s="1">
        <f t="shared" si="278"/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</row>
    <row r="655" spans="1:26" ht="15.75" x14ac:dyDescent="0.2">
      <c r="A655" s="108"/>
      <c r="B655" s="108"/>
      <c r="C655" s="59" t="s">
        <v>11</v>
      </c>
      <c r="D655" s="1">
        <f t="shared" si="278"/>
        <v>0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  <c r="O655" s="3">
        <v>0</v>
      </c>
    </row>
    <row r="656" spans="1:26" ht="15.75" x14ac:dyDescent="0.2">
      <c r="A656" s="108"/>
      <c r="B656" s="108"/>
      <c r="C656" s="59" t="s">
        <v>12</v>
      </c>
      <c r="D656" s="1">
        <f t="shared" si="278"/>
        <v>951</v>
      </c>
      <c r="E656" s="3">
        <v>0</v>
      </c>
      <c r="F656" s="3">
        <v>0</v>
      </c>
      <c r="G656" s="3">
        <v>347.6</v>
      </c>
      <c r="H656" s="3">
        <v>589.4</v>
      </c>
      <c r="I656" s="3">
        <v>14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</row>
    <row r="657" spans="1:19" ht="18" customHeight="1" x14ac:dyDescent="0.2">
      <c r="A657" s="108"/>
      <c r="B657" s="108"/>
      <c r="C657" s="59" t="s">
        <v>13</v>
      </c>
      <c r="D657" s="1">
        <f t="shared" si="278"/>
        <v>0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</row>
    <row r="658" spans="1:19" ht="15.75" x14ac:dyDescent="0.2">
      <c r="A658" s="108" t="s">
        <v>307</v>
      </c>
      <c r="B658" s="108" t="s">
        <v>308</v>
      </c>
      <c r="C658" s="83" t="s">
        <v>7</v>
      </c>
      <c r="D658" s="1">
        <f t="shared" ref="D658:D688" si="290">E658+F658+G658+H658+I658+J658+K658+L658+M658+N658+O658</f>
        <v>5870</v>
      </c>
      <c r="E658" s="3">
        <f>E659+E660+E661+E662</f>
        <v>0</v>
      </c>
      <c r="F658" s="3">
        <f t="shared" ref="F658:O658" si="291">F659+F660+F661+F662</f>
        <v>0</v>
      </c>
      <c r="G658" s="3">
        <f t="shared" si="291"/>
        <v>0</v>
      </c>
      <c r="H658" s="3">
        <f t="shared" si="291"/>
        <v>0</v>
      </c>
      <c r="I658" s="3">
        <f>I659+I660+I661+I662</f>
        <v>3397.4</v>
      </c>
      <c r="J658" s="3">
        <f t="shared" si="291"/>
        <v>2472.6</v>
      </c>
      <c r="K658" s="3">
        <f t="shared" si="291"/>
        <v>0</v>
      </c>
      <c r="L658" s="3">
        <f t="shared" si="291"/>
        <v>0</v>
      </c>
      <c r="M658" s="3">
        <f t="shared" si="291"/>
        <v>0</v>
      </c>
      <c r="N658" s="3">
        <f t="shared" si="291"/>
        <v>0</v>
      </c>
      <c r="O658" s="3">
        <f t="shared" si="291"/>
        <v>0</v>
      </c>
      <c r="P658" s="61">
        <v>3397.4</v>
      </c>
      <c r="Q658" s="70">
        <f>I658-P658</f>
        <v>0</v>
      </c>
      <c r="S658" s="80"/>
    </row>
    <row r="659" spans="1:19" ht="15.75" x14ac:dyDescent="0.2">
      <c r="A659" s="108"/>
      <c r="B659" s="108"/>
      <c r="C659" s="59" t="s">
        <v>10</v>
      </c>
      <c r="D659" s="1">
        <f t="shared" si="290"/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</row>
    <row r="660" spans="1:19" ht="15.75" x14ac:dyDescent="0.2">
      <c r="A660" s="108"/>
      <c r="B660" s="108"/>
      <c r="C660" s="59" t="s">
        <v>11</v>
      </c>
      <c r="D660" s="1">
        <f t="shared" si="290"/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  <c r="O660" s="3">
        <v>0</v>
      </c>
    </row>
    <row r="661" spans="1:19" ht="15.75" x14ac:dyDescent="0.2">
      <c r="A661" s="108"/>
      <c r="B661" s="108"/>
      <c r="C661" s="59" t="s">
        <v>12</v>
      </c>
      <c r="D661" s="1">
        <f t="shared" si="290"/>
        <v>5870</v>
      </c>
      <c r="E661" s="3">
        <v>0</v>
      </c>
      <c r="F661" s="3">
        <v>0</v>
      </c>
      <c r="G661" s="3">
        <v>0</v>
      </c>
      <c r="H661" s="3">
        <v>0</v>
      </c>
      <c r="I661" s="3">
        <v>3397.4</v>
      </c>
      <c r="J661" s="3">
        <f>3250-648.3-129.1</f>
        <v>2472.6</v>
      </c>
      <c r="K661" s="3">
        <f>5000-5000</f>
        <v>0</v>
      </c>
      <c r="L661" s="3">
        <v>0</v>
      </c>
      <c r="M661" s="3">
        <v>0</v>
      </c>
      <c r="N661" s="3">
        <v>0</v>
      </c>
      <c r="O661" s="3">
        <v>0</v>
      </c>
    </row>
    <row r="662" spans="1:19" ht="15.75" x14ac:dyDescent="0.2">
      <c r="A662" s="108"/>
      <c r="B662" s="108"/>
      <c r="C662" s="59" t="s">
        <v>13</v>
      </c>
      <c r="D662" s="1">
        <f t="shared" si="290"/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</row>
    <row r="663" spans="1:19" ht="15.75" x14ac:dyDescent="0.2">
      <c r="A663" s="108" t="s">
        <v>384</v>
      </c>
      <c r="B663" s="108" t="s">
        <v>385</v>
      </c>
      <c r="C663" s="83" t="s">
        <v>7</v>
      </c>
      <c r="D663" s="1">
        <f t="shared" si="290"/>
        <v>1215.9000000000001</v>
      </c>
      <c r="E663" s="3">
        <f>E664+E665+E666+E667</f>
        <v>0</v>
      </c>
      <c r="F663" s="3">
        <f t="shared" ref="F663:O663" si="292">F664+F665+F666+F667</f>
        <v>0</v>
      </c>
      <c r="G663" s="3">
        <f t="shared" si="292"/>
        <v>0</v>
      </c>
      <c r="H663" s="3">
        <f t="shared" si="292"/>
        <v>0</v>
      </c>
      <c r="I663" s="3">
        <f>I664+I665+I666+I667</f>
        <v>0</v>
      </c>
      <c r="J663" s="3">
        <f t="shared" si="292"/>
        <v>0</v>
      </c>
      <c r="K663" s="3">
        <f t="shared" si="292"/>
        <v>1215.9000000000001</v>
      </c>
      <c r="L663" s="3">
        <f t="shared" si="292"/>
        <v>0</v>
      </c>
      <c r="M663" s="3">
        <f t="shared" si="292"/>
        <v>0</v>
      </c>
      <c r="N663" s="3">
        <f t="shared" si="292"/>
        <v>0</v>
      </c>
      <c r="O663" s="3">
        <f t="shared" si="292"/>
        <v>0</v>
      </c>
    </row>
    <row r="664" spans="1:19" ht="15.75" x14ac:dyDescent="0.2">
      <c r="A664" s="108"/>
      <c r="B664" s="108"/>
      <c r="C664" s="59" t="s">
        <v>10</v>
      </c>
      <c r="D664" s="1">
        <f t="shared" si="290"/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</row>
    <row r="665" spans="1:19" ht="15.75" x14ac:dyDescent="0.2">
      <c r="A665" s="108"/>
      <c r="B665" s="108"/>
      <c r="C665" s="59" t="s">
        <v>11</v>
      </c>
      <c r="D665" s="1">
        <f t="shared" si="290"/>
        <v>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</row>
    <row r="666" spans="1:19" ht="15.75" x14ac:dyDescent="0.2">
      <c r="A666" s="108"/>
      <c r="B666" s="108"/>
      <c r="C666" s="59" t="s">
        <v>12</v>
      </c>
      <c r="D666" s="1">
        <f t="shared" si="290"/>
        <v>1215.9000000000001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1215.9000000000001</v>
      </c>
      <c r="L666" s="3">
        <f>1493.4-1493.4</f>
        <v>0</v>
      </c>
      <c r="M666" s="3">
        <v>0</v>
      </c>
      <c r="N666" s="3">
        <v>0</v>
      </c>
      <c r="O666" s="3">
        <v>0</v>
      </c>
    </row>
    <row r="667" spans="1:19" ht="15.75" x14ac:dyDescent="0.2">
      <c r="A667" s="108"/>
      <c r="B667" s="108"/>
      <c r="C667" s="59" t="s">
        <v>13</v>
      </c>
      <c r="D667" s="1">
        <f t="shared" si="290"/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</row>
    <row r="668" spans="1:19" ht="15.75" x14ac:dyDescent="0.2">
      <c r="A668" s="108" t="s">
        <v>387</v>
      </c>
      <c r="B668" s="108" t="s">
        <v>405</v>
      </c>
      <c r="C668" s="83" t="s">
        <v>7</v>
      </c>
      <c r="D668" s="1">
        <f t="shared" si="290"/>
        <v>551666.19999999995</v>
      </c>
      <c r="E668" s="3">
        <f>E669+E670+E671+E672</f>
        <v>0</v>
      </c>
      <c r="F668" s="3">
        <f t="shared" ref="F668:O668" si="293">F669+F670+F671+F672</f>
        <v>0</v>
      </c>
      <c r="G668" s="3">
        <f t="shared" si="293"/>
        <v>0</v>
      </c>
      <c r="H668" s="3">
        <f t="shared" si="293"/>
        <v>0</v>
      </c>
      <c r="I668" s="3">
        <f>I669+I670+I671+I672</f>
        <v>0</v>
      </c>
      <c r="J668" s="3">
        <f t="shared" si="293"/>
        <v>0</v>
      </c>
      <c r="K668" s="3">
        <f t="shared" si="293"/>
        <v>52637.4</v>
      </c>
      <c r="L668" s="3">
        <f t="shared" si="293"/>
        <v>131936.5</v>
      </c>
      <c r="M668" s="3">
        <f t="shared" si="293"/>
        <v>101616.6</v>
      </c>
      <c r="N668" s="3">
        <f t="shared" si="293"/>
        <v>132688.29999999999</v>
      </c>
      <c r="O668" s="3">
        <f t="shared" si="293"/>
        <v>132787.4</v>
      </c>
    </row>
    <row r="669" spans="1:19" ht="15.75" x14ac:dyDescent="0.2">
      <c r="A669" s="108"/>
      <c r="B669" s="108"/>
      <c r="C669" s="59" t="s">
        <v>10</v>
      </c>
      <c r="D669" s="1">
        <f t="shared" si="290"/>
        <v>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</row>
    <row r="670" spans="1:19" ht="15.75" x14ac:dyDescent="0.2">
      <c r="A670" s="108"/>
      <c r="B670" s="108"/>
      <c r="C670" s="59" t="s">
        <v>11</v>
      </c>
      <c r="D670" s="1">
        <f t="shared" si="290"/>
        <v>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0</v>
      </c>
      <c r="N670" s="3">
        <v>0</v>
      </c>
      <c r="O670" s="3">
        <v>0</v>
      </c>
    </row>
    <row r="671" spans="1:19" ht="15.75" x14ac:dyDescent="0.2">
      <c r="A671" s="108"/>
      <c r="B671" s="108"/>
      <c r="C671" s="59" t="s">
        <v>12</v>
      </c>
      <c r="D671" s="1">
        <f t="shared" si="290"/>
        <v>551666.19999999995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f>30000+22637.4+2056-2056</f>
        <v>52637.4</v>
      </c>
      <c r="L671" s="3">
        <f>126936.5-12775.3+12775.3+5000</f>
        <v>131936.5</v>
      </c>
      <c r="M671" s="3">
        <f>179515.2-77898.6</f>
        <v>101616.6</v>
      </c>
      <c r="N671" s="3">
        <f>198915.9-66227.6</f>
        <v>132688.29999999999</v>
      </c>
      <c r="O671" s="3">
        <f>0+132787.4</f>
        <v>132787.4</v>
      </c>
    </row>
    <row r="672" spans="1:19" ht="15.75" x14ac:dyDescent="0.2">
      <c r="A672" s="108"/>
      <c r="B672" s="108"/>
      <c r="C672" s="59" t="s">
        <v>13</v>
      </c>
      <c r="D672" s="1">
        <f t="shared" si="290"/>
        <v>0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0</v>
      </c>
      <c r="O672" s="3">
        <v>0</v>
      </c>
    </row>
    <row r="673" spans="1:15" ht="15.75" x14ac:dyDescent="0.2">
      <c r="A673" s="108" t="s">
        <v>390</v>
      </c>
      <c r="B673" s="108" t="s">
        <v>397</v>
      </c>
      <c r="C673" s="83" t="s">
        <v>7</v>
      </c>
      <c r="D673" s="1">
        <f t="shared" ref="D673" si="294">E673+F673+G673+H673+I673+J673+K673+L673+M673+N673+O673</f>
        <v>20707.8</v>
      </c>
      <c r="E673" s="3">
        <f>E674+E675+E676+E677</f>
        <v>0</v>
      </c>
      <c r="F673" s="3">
        <f t="shared" ref="F673:O673" si="295">F674+F675+F676+F677</f>
        <v>0</v>
      </c>
      <c r="G673" s="3">
        <f t="shared" si="295"/>
        <v>0</v>
      </c>
      <c r="H673" s="3">
        <f t="shared" si="295"/>
        <v>0</v>
      </c>
      <c r="I673" s="3">
        <f>I674+I675+I676+I677</f>
        <v>0</v>
      </c>
      <c r="J673" s="3">
        <f t="shared" si="295"/>
        <v>0</v>
      </c>
      <c r="K673" s="3">
        <f t="shared" si="295"/>
        <v>12262.8</v>
      </c>
      <c r="L673" s="3">
        <f t="shared" si="295"/>
        <v>8445</v>
      </c>
      <c r="M673" s="3">
        <f t="shared" si="295"/>
        <v>0</v>
      </c>
      <c r="N673" s="3">
        <f t="shared" si="295"/>
        <v>0</v>
      </c>
      <c r="O673" s="3">
        <f t="shared" si="295"/>
        <v>0</v>
      </c>
    </row>
    <row r="674" spans="1:15" ht="15.75" x14ac:dyDescent="0.2">
      <c r="A674" s="108"/>
      <c r="B674" s="108"/>
      <c r="C674" s="59" t="s">
        <v>10</v>
      </c>
      <c r="D674" s="1">
        <f t="shared" si="290"/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  <c r="O674" s="3">
        <v>0</v>
      </c>
    </row>
    <row r="675" spans="1:15" ht="15.75" x14ac:dyDescent="0.2">
      <c r="A675" s="108"/>
      <c r="B675" s="108"/>
      <c r="C675" s="59" t="s">
        <v>11</v>
      </c>
      <c r="D675" s="1">
        <f>E675+F675+G675+H675+I675+J675+K675+L675+M675+N675+O675</f>
        <v>0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0</v>
      </c>
      <c r="N675" s="3">
        <v>0</v>
      </c>
      <c r="O675" s="3">
        <v>0</v>
      </c>
    </row>
    <row r="676" spans="1:15" ht="15.75" x14ac:dyDescent="0.2">
      <c r="A676" s="108"/>
      <c r="B676" s="108"/>
      <c r="C676" s="59" t="s">
        <v>12</v>
      </c>
      <c r="D676" s="1">
        <f t="shared" si="290"/>
        <v>20707.8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12262.8</v>
      </c>
      <c r="L676" s="3">
        <f>3955.5-0.1-1380.6+5870.2</f>
        <v>8445</v>
      </c>
      <c r="M676" s="3">
        <v>0</v>
      </c>
      <c r="N676" s="3">
        <v>0</v>
      </c>
      <c r="O676" s="3">
        <v>0</v>
      </c>
    </row>
    <row r="677" spans="1:15" ht="15.75" x14ac:dyDescent="0.2">
      <c r="A677" s="108"/>
      <c r="B677" s="108"/>
      <c r="C677" s="59" t="s">
        <v>13</v>
      </c>
      <c r="D677" s="1">
        <f t="shared" si="290"/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</row>
    <row r="678" spans="1:15" ht="15.75" customHeight="1" x14ac:dyDescent="0.2">
      <c r="A678" s="108" t="s">
        <v>391</v>
      </c>
      <c r="B678" s="108" t="s">
        <v>442</v>
      </c>
      <c r="C678" s="83" t="s">
        <v>7</v>
      </c>
      <c r="D678" s="1">
        <f t="shared" si="290"/>
        <v>11510.400000000001</v>
      </c>
      <c r="E678" s="3">
        <f>E679+E680+E681+E682</f>
        <v>0</v>
      </c>
      <c r="F678" s="3">
        <f t="shared" ref="F678:O678" si="296">F679+F680+F681+F682</f>
        <v>0</v>
      </c>
      <c r="G678" s="3">
        <f t="shared" si="296"/>
        <v>0</v>
      </c>
      <c r="H678" s="3">
        <f t="shared" si="296"/>
        <v>0</v>
      </c>
      <c r="I678" s="3">
        <f>I679+I680+I681+I682</f>
        <v>0</v>
      </c>
      <c r="J678" s="3">
        <f t="shared" si="296"/>
        <v>0</v>
      </c>
      <c r="K678" s="3">
        <f t="shared" si="296"/>
        <v>2738.4</v>
      </c>
      <c r="L678" s="3">
        <f t="shared" si="296"/>
        <v>2635.3</v>
      </c>
      <c r="M678" s="3">
        <f t="shared" si="296"/>
        <v>4415.1000000000004</v>
      </c>
      <c r="N678" s="3">
        <f t="shared" si="296"/>
        <v>867.2</v>
      </c>
      <c r="O678" s="3">
        <f t="shared" si="296"/>
        <v>854.4</v>
      </c>
    </row>
    <row r="679" spans="1:15" ht="15.75" x14ac:dyDescent="0.2">
      <c r="A679" s="108"/>
      <c r="B679" s="108"/>
      <c r="C679" s="59" t="s">
        <v>10</v>
      </c>
      <c r="D679" s="1">
        <f t="shared" si="290"/>
        <v>0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0</v>
      </c>
      <c r="N679" s="3">
        <v>0</v>
      </c>
      <c r="O679" s="3">
        <v>0</v>
      </c>
    </row>
    <row r="680" spans="1:15" ht="15.75" x14ac:dyDescent="0.2">
      <c r="A680" s="108"/>
      <c r="B680" s="108"/>
      <c r="C680" s="59" t="s">
        <v>11</v>
      </c>
      <c r="D680" s="1">
        <f>E680+F680+G680+H680+I680+J680+K680+L680+M680+N680+O680</f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</row>
    <row r="681" spans="1:15" ht="15.75" x14ac:dyDescent="0.2">
      <c r="A681" s="108"/>
      <c r="B681" s="108"/>
      <c r="C681" s="59" t="s">
        <v>12</v>
      </c>
      <c r="D681" s="1">
        <f t="shared" si="290"/>
        <v>11510.400000000001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f>5000-2261.6-2056+2056</f>
        <v>2738.4</v>
      </c>
      <c r="L681" s="3">
        <f>735.3+600+1300</f>
        <v>2635.3</v>
      </c>
      <c r="M681" s="3">
        <f>779.7+352.4+3283</f>
        <v>4415.1000000000004</v>
      </c>
      <c r="N681" s="3">
        <f>783.5+83.7</f>
        <v>867.2</v>
      </c>
      <c r="O681" s="3">
        <f>0+854.4</f>
        <v>854.4</v>
      </c>
    </row>
    <row r="682" spans="1:15" ht="15.75" x14ac:dyDescent="0.2">
      <c r="A682" s="108"/>
      <c r="B682" s="108"/>
      <c r="C682" s="59" t="s">
        <v>13</v>
      </c>
      <c r="D682" s="1">
        <f t="shared" si="290"/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0</v>
      </c>
      <c r="O682" s="3">
        <v>0</v>
      </c>
    </row>
    <row r="683" spans="1:15" ht="15.75" customHeight="1" x14ac:dyDescent="0.2">
      <c r="A683" s="108" t="s">
        <v>398</v>
      </c>
      <c r="B683" s="108" t="s">
        <v>402</v>
      </c>
      <c r="C683" s="83" t="s">
        <v>7</v>
      </c>
      <c r="D683" s="1">
        <f t="shared" ref="D683" si="297">E683+F683+G683+H683+I683+J683+K683+L683+M683+N683+O683</f>
        <v>7545.1</v>
      </c>
      <c r="E683" s="3">
        <f>E684+E685+E686+E687</f>
        <v>0</v>
      </c>
      <c r="F683" s="3">
        <f t="shared" ref="F683:O683" si="298">F684+F685+F686+F687</f>
        <v>0</v>
      </c>
      <c r="G683" s="3">
        <f t="shared" si="298"/>
        <v>0</v>
      </c>
      <c r="H683" s="3">
        <f t="shared" si="298"/>
        <v>0</v>
      </c>
      <c r="I683" s="3">
        <f>I684+I685+I686+I687</f>
        <v>0</v>
      </c>
      <c r="J683" s="3">
        <f t="shared" si="298"/>
        <v>0</v>
      </c>
      <c r="K683" s="3">
        <f t="shared" si="298"/>
        <v>7545.1</v>
      </c>
      <c r="L683" s="3">
        <f t="shared" si="298"/>
        <v>0</v>
      </c>
      <c r="M683" s="3">
        <f t="shared" si="298"/>
        <v>0</v>
      </c>
      <c r="N683" s="3">
        <f t="shared" si="298"/>
        <v>0</v>
      </c>
      <c r="O683" s="3">
        <f t="shared" si="298"/>
        <v>0</v>
      </c>
    </row>
    <row r="684" spans="1:15" ht="15.75" x14ac:dyDescent="0.2">
      <c r="A684" s="108"/>
      <c r="B684" s="108"/>
      <c r="C684" s="59" t="s">
        <v>10</v>
      </c>
      <c r="D684" s="1">
        <f t="shared" si="290"/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  <c r="N684" s="3">
        <v>0</v>
      </c>
      <c r="O684" s="3">
        <v>0</v>
      </c>
    </row>
    <row r="685" spans="1:15" ht="15.75" x14ac:dyDescent="0.2">
      <c r="A685" s="108"/>
      <c r="B685" s="108"/>
      <c r="C685" s="59" t="s">
        <v>11</v>
      </c>
      <c r="D685" s="1">
        <f>E685+F685+G685+H685+I685+J685+K685+L685+M685+N685+O685</f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  <c r="N685" s="3">
        <v>0</v>
      </c>
      <c r="O685" s="3">
        <v>0</v>
      </c>
    </row>
    <row r="686" spans="1:15" ht="15.75" x14ac:dyDescent="0.2">
      <c r="A686" s="108"/>
      <c r="B686" s="108"/>
      <c r="C686" s="59" t="s">
        <v>12</v>
      </c>
      <c r="D686" s="1">
        <f t="shared" si="290"/>
        <v>7545.1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7545.1</v>
      </c>
      <c r="L686" s="3">
        <v>0</v>
      </c>
      <c r="M686" s="3">
        <v>0</v>
      </c>
      <c r="N686" s="3">
        <v>0</v>
      </c>
      <c r="O686" s="3">
        <v>0</v>
      </c>
    </row>
    <row r="687" spans="1:15" ht="15.75" x14ac:dyDescent="0.2">
      <c r="A687" s="108"/>
      <c r="B687" s="108"/>
      <c r="C687" s="59" t="s">
        <v>13</v>
      </c>
      <c r="D687" s="1">
        <f t="shared" si="290"/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</row>
    <row r="688" spans="1:15" ht="15.75" x14ac:dyDescent="0.2">
      <c r="A688" s="108" t="s">
        <v>432</v>
      </c>
      <c r="B688" s="108" t="s">
        <v>433</v>
      </c>
      <c r="C688" s="83" t="s">
        <v>7</v>
      </c>
      <c r="D688" s="1">
        <f t="shared" si="290"/>
        <v>4343.8999999999996</v>
      </c>
      <c r="E688" s="3">
        <f>E689+E690+E691+E692</f>
        <v>0</v>
      </c>
      <c r="F688" s="3">
        <f t="shared" ref="F688:H688" si="299">F689+F690+F691+F692</f>
        <v>0</v>
      </c>
      <c r="G688" s="3">
        <f t="shared" si="299"/>
        <v>0</v>
      </c>
      <c r="H688" s="3">
        <f t="shared" si="299"/>
        <v>0</v>
      </c>
      <c r="I688" s="3">
        <f>I689+I690+I691+I692</f>
        <v>0</v>
      </c>
      <c r="J688" s="3">
        <f t="shared" ref="J688:O688" si="300">J689+J690+J691+J692</f>
        <v>0</v>
      </c>
      <c r="K688" s="3">
        <f t="shared" si="300"/>
        <v>0</v>
      </c>
      <c r="L688" s="3">
        <f t="shared" si="300"/>
        <v>0</v>
      </c>
      <c r="M688" s="3">
        <f t="shared" si="300"/>
        <v>4343.8999999999996</v>
      </c>
      <c r="N688" s="3">
        <f t="shared" si="300"/>
        <v>0</v>
      </c>
      <c r="O688" s="3">
        <f t="shared" si="300"/>
        <v>0</v>
      </c>
    </row>
    <row r="689" spans="1:15" ht="15.75" x14ac:dyDescent="0.2">
      <c r="A689" s="108"/>
      <c r="B689" s="108"/>
      <c r="C689" s="59" t="s">
        <v>10</v>
      </c>
      <c r="D689" s="1">
        <f t="shared" ref="D689" si="301">E689+F689+G689+H689+I689+J689+K689+L689+M689+N689+O689</f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0</v>
      </c>
      <c r="N689" s="3">
        <v>0</v>
      </c>
      <c r="O689" s="3">
        <v>0</v>
      </c>
    </row>
    <row r="690" spans="1:15" ht="15.75" x14ac:dyDescent="0.2">
      <c r="A690" s="108"/>
      <c r="B690" s="108"/>
      <c r="C690" s="59" t="s">
        <v>11</v>
      </c>
      <c r="D690" s="1">
        <f>E690+F690+G690+H690+I690+J690+K690+L690+M690+N690+O690</f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0</v>
      </c>
      <c r="M690" s="3">
        <v>0</v>
      </c>
      <c r="N690" s="3">
        <v>0</v>
      </c>
      <c r="O690" s="3">
        <v>0</v>
      </c>
    </row>
    <row r="691" spans="1:15" ht="15.75" x14ac:dyDescent="0.2">
      <c r="A691" s="108"/>
      <c r="B691" s="108"/>
      <c r="C691" s="59" t="s">
        <v>12</v>
      </c>
      <c r="D691" s="1">
        <f t="shared" ref="D691:D692" si="302">E691+F691+G691+H691+I691+J691+K691+L691+M691+N691+O691</f>
        <v>4343.8999999999996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f>4928.6-2120.3-2808.3</f>
        <v>0</v>
      </c>
      <c r="M691" s="3">
        <v>4343.8999999999996</v>
      </c>
      <c r="N691" s="3">
        <v>0</v>
      </c>
      <c r="O691" s="3">
        <v>0</v>
      </c>
    </row>
    <row r="692" spans="1:15" ht="15.75" x14ac:dyDescent="0.2">
      <c r="A692" s="108"/>
      <c r="B692" s="108"/>
      <c r="C692" s="59" t="s">
        <v>13</v>
      </c>
      <c r="D692" s="1">
        <f t="shared" si="302"/>
        <v>0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0</v>
      </c>
      <c r="M692" s="3">
        <v>0</v>
      </c>
      <c r="N692" s="3">
        <v>0</v>
      </c>
      <c r="O692" s="3">
        <v>0</v>
      </c>
    </row>
    <row r="693" spans="1:15" ht="15.75" x14ac:dyDescent="0.2">
      <c r="A693" s="108" t="s">
        <v>282</v>
      </c>
      <c r="B693" s="108" t="s">
        <v>283</v>
      </c>
      <c r="C693" s="59" t="s">
        <v>7</v>
      </c>
      <c r="D693" s="1">
        <f t="shared" si="278"/>
        <v>968496.90000000014</v>
      </c>
      <c r="E693" s="1">
        <f t="shared" ref="E693:O693" si="303">E694+E695+E697+E699</f>
        <v>0</v>
      </c>
      <c r="F693" s="1">
        <f t="shared" si="303"/>
        <v>0</v>
      </c>
      <c r="G693" s="1">
        <f t="shared" si="303"/>
        <v>0</v>
      </c>
      <c r="H693" s="1">
        <f t="shared" si="303"/>
        <v>0</v>
      </c>
      <c r="I693" s="1">
        <f t="shared" si="303"/>
        <v>52500</v>
      </c>
      <c r="J693" s="1">
        <f>J694+J695+J697+J699</f>
        <v>227517.2</v>
      </c>
      <c r="K693" s="1">
        <f t="shared" si="303"/>
        <v>393667.4</v>
      </c>
      <c r="L693" s="1">
        <f t="shared" si="303"/>
        <v>208770.3</v>
      </c>
      <c r="M693" s="1">
        <f t="shared" si="303"/>
        <v>86042</v>
      </c>
      <c r="N693" s="1">
        <f t="shared" si="303"/>
        <v>0</v>
      </c>
      <c r="O693" s="1">
        <f t="shared" si="303"/>
        <v>0</v>
      </c>
    </row>
    <row r="694" spans="1:15" ht="15.75" x14ac:dyDescent="0.2">
      <c r="A694" s="113"/>
      <c r="B694" s="134"/>
      <c r="C694" s="59" t="s">
        <v>10</v>
      </c>
      <c r="D694" s="1">
        <f t="shared" si="278"/>
        <v>0</v>
      </c>
      <c r="E694" s="1">
        <f>E701</f>
        <v>0</v>
      </c>
      <c r="F694" s="1">
        <f t="shared" ref="F694:K694" si="304">F701</f>
        <v>0</v>
      </c>
      <c r="G694" s="1">
        <f t="shared" si="304"/>
        <v>0</v>
      </c>
      <c r="H694" s="1">
        <f t="shared" si="304"/>
        <v>0</v>
      </c>
      <c r="I694" s="1">
        <f t="shared" si="304"/>
        <v>0</v>
      </c>
      <c r="J694" s="1">
        <f>J701</f>
        <v>0</v>
      </c>
      <c r="K694" s="1">
        <f t="shared" si="304"/>
        <v>0</v>
      </c>
      <c r="L694" s="1">
        <f>L734+L744+L756+L772+L783+L790</f>
        <v>0</v>
      </c>
      <c r="M694" s="1">
        <f>M734+M744+M756+M772+M783+M790</f>
        <v>0</v>
      </c>
      <c r="N694" s="1">
        <f>N734+N744+N756+N772+N783+N790</f>
        <v>0</v>
      </c>
      <c r="O694" s="1">
        <f>O734+O744+O756+O772+O783+O790</f>
        <v>0</v>
      </c>
    </row>
    <row r="695" spans="1:15" ht="31.5" x14ac:dyDescent="0.2">
      <c r="A695" s="113"/>
      <c r="B695" s="134"/>
      <c r="C695" s="59" t="s">
        <v>69</v>
      </c>
      <c r="D695" s="1">
        <f t="shared" si="278"/>
        <v>905425.9</v>
      </c>
      <c r="E695" s="1">
        <f t="shared" ref="E695:O695" si="305">E702</f>
        <v>0</v>
      </c>
      <c r="F695" s="1">
        <f t="shared" si="305"/>
        <v>0</v>
      </c>
      <c r="G695" s="1">
        <f t="shared" si="305"/>
        <v>0</v>
      </c>
      <c r="H695" s="1">
        <f t="shared" si="305"/>
        <v>0</v>
      </c>
      <c r="I695" s="1">
        <f t="shared" si="305"/>
        <v>50000</v>
      </c>
      <c r="J695" s="1">
        <f>J702</f>
        <v>213866.1</v>
      </c>
      <c r="K695" s="1">
        <f t="shared" si="305"/>
        <v>368985.2</v>
      </c>
      <c r="L695" s="1">
        <f t="shared" si="305"/>
        <v>195620.5</v>
      </c>
      <c r="M695" s="1">
        <f t="shared" si="305"/>
        <v>76954.100000000006</v>
      </c>
      <c r="N695" s="1">
        <f t="shared" si="305"/>
        <v>0</v>
      </c>
      <c r="O695" s="1">
        <f t="shared" si="305"/>
        <v>0</v>
      </c>
    </row>
    <row r="696" spans="1:15" ht="31.5" x14ac:dyDescent="0.2">
      <c r="A696" s="113"/>
      <c r="B696" s="134"/>
      <c r="C696" s="74" t="s">
        <v>81</v>
      </c>
      <c r="D696" s="73">
        <f t="shared" ref="D696" si="306">E696+F696+G696+H696+I696+J696+K696+L696+M696+N696+O696</f>
        <v>11279.3</v>
      </c>
      <c r="E696" s="73">
        <v>0</v>
      </c>
      <c r="F696" s="73">
        <v>0</v>
      </c>
      <c r="G696" s="73">
        <v>0</v>
      </c>
      <c r="H696" s="73">
        <v>0</v>
      </c>
      <c r="I696" s="73">
        <v>0</v>
      </c>
      <c r="J696" s="73">
        <v>0</v>
      </c>
      <c r="K696" s="73">
        <v>0</v>
      </c>
      <c r="L696" s="73">
        <v>0</v>
      </c>
      <c r="M696" s="73">
        <v>11279.3</v>
      </c>
      <c r="N696" s="1">
        <v>0</v>
      </c>
      <c r="O696" s="1">
        <v>0</v>
      </c>
    </row>
    <row r="697" spans="1:15" ht="31.5" x14ac:dyDescent="0.2">
      <c r="A697" s="113"/>
      <c r="B697" s="134"/>
      <c r="C697" s="59" t="s">
        <v>65</v>
      </c>
      <c r="D697" s="1">
        <f t="shared" ref="D697:D746" si="307">E697+F697+G697+H697+I697+J697+K697+L697+M697+N697+O697</f>
        <v>63071.000000000007</v>
      </c>
      <c r="E697" s="1">
        <f t="shared" ref="E697:O697" si="308">E704</f>
        <v>0</v>
      </c>
      <c r="F697" s="1">
        <f t="shared" si="308"/>
        <v>0</v>
      </c>
      <c r="G697" s="1">
        <f t="shared" si="308"/>
        <v>0</v>
      </c>
      <c r="H697" s="1">
        <f t="shared" si="308"/>
        <v>0</v>
      </c>
      <c r="I697" s="1">
        <f t="shared" si="308"/>
        <v>2500</v>
      </c>
      <c r="J697" s="1">
        <f>J704</f>
        <v>13651.1</v>
      </c>
      <c r="K697" s="1">
        <f t="shared" si="308"/>
        <v>24682.2</v>
      </c>
      <c r="L697" s="1">
        <f t="shared" si="308"/>
        <v>13149.8</v>
      </c>
      <c r="M697" s="1">
        <f t="shared" si="308"/>
        <v>9087.9</v>
      </c>
      <c r="N697" s="1">
        <f t="shared" si="308"/>
        <v>0</v>
      </c>
      <c r="O697" s="1">
        <f t="shared" si="308"/>
        <v>0</v>
      </c>
    </row>
    <row r="698" spans="1:15" ht="31.5" x14ac:dyDescent="0.2">
      <c r="A698" s="113"/>
      <c r="B698" s="134"/>
      <c r="C698" s="74" t="s">
        <v>449</v>
      </c>
      <c r="D698" s="73">
        <f t="shared" ref="D698" si="309">E698+F698+G698+H698+I698+J698+K698+L698+M698+N698+O698</f>
        <v>719.9</v>
      </c>
      <c r="E698" s="73">
        <v>0</v>
      </c>
      <c r="F698" s="73">
        <v>0</v>
      </c>
      <c r="G698" s="73">
        <v>0</v>
      </c>
      <c r="H698" s="73">
        <v>0</v>
      </c>
      <c r="I698" s="73">
        <v>0</v>
      </c>
      <c r="J698" s="73">
        <v>0</v>
      </c>
      <c r="K698" s="73">
        <v>0</v>
      </c>
      <c r="L698" s="73">
        <v>0</v>
      </c>
      <c r="M698" s="73">
        <v>719.9</v>
      </c>
      <c r="N698" s="73">
        <v>0</v>
      </c>
      <c r="O698" s="73">
        <v>0</v>
      </c>
    </row>
    <row r="699" spans="1:15" ht="33" customHeight="1" x14ac:dyDescent="0.2">
      <c r="A699" s="113"/>
      <c r="B699" s="134"/>
      <c r="C699" s="59" t="s">
        <v>13</v>
      </c>
      <c r="D699" s="1">
        <f t="shared" si="307"/>
        <v>0</v>
      </c>
      <c r="E699" s="1">
        <f t="shared" ref="E699:K699" si="310">E706</f>
        <v>0</v>
      </c>
      <c r="F699" s="1">
        <f t="shared" si="310"/>
        <v>0</v>
      </c>
      <c r="G699" s="1">
        <f t="shared" si="310"/>
        <v>0</v>
      </c>
      <c r="H699" s="1">
        <f t="shared" si="310"/>
        <v>0</v>
      </c>
      <c r="I699" s="1">
        <f t="shared" si="310"/>
        <v>0</v>
      </c>
      <c r="J699" s="1">
        <f>J706</f>
        <v>0</v>
      </c>
      <c r="K699" s="1">
        <f t="shared" si="310"/>
        <v>0</v>
      </c>
      <c r="L699" s="1">
        <v>0</v>
      </c>
      <c r="M699" s="1">
        <v>0</v>
      </c>
      <c r="N699" s="1">
        <v>0</v>
      </c>
      <c r="O699" s="1">
        <v>0</v>
      </c>
    </row>
    <row r="700" spans="1:15" ht="15.75" x14ac:dyDescent="0.2">
      <c r="A700" s="108" t="s">
        <v>284</v>
      </c>
      <c r="B700" s="108" t="s">
        <v>285</v>
      </c>
      <c r="C700" s="59" t="s">
        <v>7</v>
      </c>
      <c r="D700" s="1">
        <f t="shared" si="307"/>
        <v>968496.90000000014</v>
      </c>
      <c r="E700" s="1">
        <f t="shared" ref="E700:J700" si="311">E701+E702+E704+E706</f>
        <v>0</v>
      </c>
      <c r="F700" s="1">
        <f t="shared" si="311"/>
        <v>0</v>
      </c>
      <c r="G700" s="1">
        <f t="shared" si="311"/>
        <v>0</v>
      </c>
      <c r="H700" s="1">
        <f t="shared" si="311"/>
        <v>0</v>
      </c>
      <c r="I700" s="1">
        <f t="shared" si="311"/>
        <v>52500</v>
      </c>
      <c r="J700" s="1">
        <f t="shared" si="311"/>
        <v>227517.2</v>
      </c>
      <c r="K700" s="1">
        <f>K701+K702+K704+K706</f>
        <v>393667.4</v>
      </c>
      <c r="L700" s="1">
        <f t="shared" ref="L700:O700" si="312">L701+L702+L704+L706</f>
        <v>208770.3</v>
      </c>
      <c r="M700" s="1">
        <f t="shared" si="312"/>
        <v>86042</v>
      </c>
      <c r="N700" s="1">
        <f t="shared" si="312"/>
        <v>0</v>
      </c>
      <c r="O700" s="1">
        <f t="shared" si="312"/>
        <v>0</v>
      </c>
    </row>
    <row r="701" spans="1:15" ht="15.75" x14ac:dyDescent="0.2">
      <c r="A701" s="108"/>
      <c r="B701" s="108"/>
      <c r="C701" s="59" t="s">
        <v>10</v>
      </c>
      <c r="D701" s="1">
        <f t="shared" si="307"/>
        <v>0</v>
      </c>
      <c r="E701" s="1">
        <f t="shared" ref="E701:K701" si="313">E739+E750+E761+E777+E788+E795</f>
        <v>0</v>
      </c>
      <c r="F701" s="1">
        <f t="shared" si="313"/>
        <v>0</v>
      </c>
      <c r="G701" s="1">
        <f t="shared" si="313"/>
        <v>0</v>
      </c>
      <c r="H701" s="1">
        <f t="shared" si="313"/>
        <v>0</v>
      </c>
      <c r="I701" s="1">
        <f t="shared" si="313"/>
        <v>0</v>
      </c>
      <c r="J701" s="1">
        <f t="shared" si="313"/>
        <v>0</v>
      </c>
      <c r="K701" s="1">
        <f t="shared" si="313"/>
        <v>0</v>
      </c>
      <c r="L701" s="1">
        <f>L739+L750+L761+L777+L788+L795</f>
        <v>0</v>
      </c>
      <c r="M701" s="1">
        <f>M739+M750+M761+M777+M788+M795</f>
        <v>0</v>
      </c>
      <c r="N701" s="1">
        <f>N739+N750+N761+N777+N788+N795</f>
        <v>0</v>
      </c>
      <c r="O701" s="1">
        <f>O739+O750+O761+O777+O788+O795</f>
        <v>0</v>
      </c>
    </row>
    <row r="702" spans="1:15" ht="31.5" x14ac:dyDescent="0.2">
      <c r="A702" s="108"/>
      <c r="B702" s="108"/>
      <c r="C702" s="59" t="s">
        <v>69</v>
      </c>
      <c r="D702" s="1">
        <f t="shared" si="307"/>
        <v>905425.9</v>
      </c>
      <c r="E702" s="1">
        <v>0</v>
      </c>
      <c r="F702" s="1">
        <v>0</v>
      </c>
      <c r="G702" s="1">
        <v>0</v>
      </c>
      <c r="H702" s="1">
        <v>0</v>
      </c>
      <c r="I702" s="1">
        <v>50000</v>
      </c>
      <c r="J702" s="1">
        <v>213866.1</v>
      </c>
      <c r="K702" s="1">
        <v>368985.2</v>
      </c>
      <c r="L702" s="1">
        <v>195620.5</v>
      </c>
      <c r="M702" s="1">
        <f>34491.5+42462.6</f>
        <v>76954.100000000006</v>
      </c>
      <c r="N702" s="1">
        <v>0</v>
      </c>
      <c r="O702" s="1">
        <v>0</v>
      </c>
    </row>
    <row r="703" spans="1:15" ht="30" customHeight="1" x14ac:dyDescent="0.2">
      <c r="A703" s="108"/>
      <c r="B703" s="108"/>
      <c r="C703" s="74" t="s">
        <v>81</v>
      </c>
      <c r="D703" s="73">
        <f t="shared" si="307"/>
        <v>11279.3</v>
      </c>
      <c r="E703" s="73">
        <v>0</v>
      </c>
      <c r="F703" s="73">
        <v>0</v>
      </c>
      <c r="G703" s="73">
        <v>0</v>
      </c>
      <c r="H703" s="73">
        <v>0</v>
      </c>
      <c r="I703" s="73">
        <v>0</v>
      </c>
      <c r="J703" s="73">
        <v>0</v>
      </c>
      <c r="K703" s="73">
        <v>0</v>
      </c>
      <c r="L703" s="73">
        <v>0</v>
      </c>
      <c r="M703" s="73">
        <v>11279.3</v>
      </c>
      <c r="N703" s="1">
        <v>0</v>
      </c>
      <c r="O703" s="1">
        <v>0</v>
      </c>
    </row>
    <row r="704" spans="1:15" ht="31.5" x14ac:dyDescent="0.2">
      <c r="A704" s="108"/>
      <c r="B704" s="108"/>
      <c r="C704" s="59" t="s">
        <v>65</v>
      </c>
      <c r="D704" s="1">
        <f t="shared" si="307"/>
        <v>63071.000000000007</v>
      </c>
      <c r="E704" s="1">
        <v>0</v>
      </c>
      <c r="F704" s="1">
        <v>0</v>
      </c>
      <c r="G704" s="1">
        <v>0</v>
      </c>
      <c r="H704" s="1">
        <v>0</v>
      </c>
      <c r="I704" s="1">
        <v>2500</v>
      </c>
      <c r="J704" s="1">
        <v>13651.1</v>
      </c>
      <c r="K704" s="1">
        <v>24682.2</v>
      </c>
      <c r="L704" s="1">
        <f>12486.4+663.4</f>
        <v>13149.8</v>
      </c>
      <c r="M704" s="1">
        <f>1481.6+4723.2+172.7+2710.4</f>
        <v>9087.9</v>
      </c>
      <c r="N704" s="1">
        <v>0</v>
      </c>
      <c r="O704" s="1">
        <v>0</v>
      </c>
    </row>
    <row r="705" spans="1:19" ht="30" customHeight="1" x14ac:dyDescent="0.2">
      <c r="A705" s="108"/>
      <c r="B705" s="108"/>
      <c r="C705" s="74" t="s">
        <v>449</v>
      </c>
      <c r="D705" s="73">
        <f t="shared" si="307"/>
        <v>719.9</v>
      </c>
      <c r="E705" s="73">
        <v>0</v>
      </c>
      <c r="F705" s="73">
        <v>0</v>
      </c>
      <c r="G705" s="73">
        <v>0</v>
      </c>
      <c r="H705" s="73">
        <v>0</v>
      </c>
      <c r="I705" s="73">
        <v>0</v>
      </c>
      <c r="J705" s="73">
        <v>0</v>
      </c>
      <c r="K705" s="73">
        <v>0</v>
      </c>
      <c r="L705" s="73">
        <v>0</v>
      </c>
      <c r="M705" s="73">
        <v>719.9</v>
      </c>
      <c r="N705" s="73">
        <v>0</v>
      </c>
      <c r="O705" s="73">
        <v>0</v>
      </c>
    </row>
    <row r="706" spans="1:19" ht="30.75" customHeight="1" x14ac:dyDescent="0.2">
      <c r="A706" s="108"/>
      <c r="B706" s="108"/>
      <c r="C706" s="59" t="s">
        <v>13</v>
      </c>
      <c r="D706" s="1">
        <f t="shared" si="307"/>
        <v>0</v>
      </c>
      <c r="E706" s="1">
        <f>E753+E764+E780+E792+E799</f>
        <v>0</v>
      </c>
      <c r="F706" s="1">
        <f>F753+F764+F780+F792+F799</f>
        <v>0</v>
      </c>
      <c r="G706" s="1">
        <f>G753+G764+G780+G792+G799</f>
        <v>0</v>
      </c>
      <c r="H706" s="1">
        <f>H753+H764+H780+H792+H799</f>
        <v>0</v>
      </c>
      <c r="I706" s="1">
        <f>I753+I764+I780+I792+I799</f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">
        <v>0</v>
      </c>
    </row>
    <row r="707" spans="1:19" ht="21" customHeight="1" x14ac:dyDescent="0.2">
      <c r="A707" s="108" t="s">
        <v>357</v>
      </c>
      <c r="B707" s="108" t="s">
        <v>358</v>
      </c>
      <c r="C707" s="59" t="s">
        <v>7</v>
      </c>
      <c r="D707" s="1">
        <f>E707+F707+G707+H707+I707+J707+K707+L707+M707+N707+O707</f>
        <v>600</v>
      </c>
      <c r="E707" s="1">
        <f t="shared" ref="E707:O707" si="314">E708+E709+E710+E711</f>
        <v>0</v>
      </c>
      <c r="F707" s="1">
        <f t="shared" si="314"/>
        <v>0</v>
      </c>
      <c r="G707" s="1">
        <f t="shared" si="314"/>
        <v>0</v>
      </c>
      <c r="H707" s="1">
        <f t="shared" si="314"/>
        <v>0</v>
      </c>
      <c r="I707" s="1">
        <f t="shared" si="314"/>
        <v>0</v>
      </c>
      <c r="J707" s="1">
        <f t="shared" si="314"/>
        <v>600</v>
      </c>
      <c r="K707" s="1">
        <f t="shared" si="314"/>
        <v>0</v>
      </c>
      <c r="L707" s="1">
        <f t="shared" si="314"/>
        <v>0</v>
      </c>
      <c r="M707" s="1">
        <f t="shared" si="314"/>
        <v>0</v>
      </c>
      <c r="N707" s="1">
        <f t="shared" si="314"/>
        <v>0</v>
      </c>
      <c r="O707" s="1">
        <f t="shared" si="314"/>
        <v>0</v>
      </c>
    </row>
    <row r="708" spans="1:19" ht="21" customHeight="1" x14ac:dyDescent="0.2">
      <c r="A708" s="113"/>
      <c r="B708" s="134"/>
      <c r="C708" s="59" t="s">
        <v>10</v>
      </c>
      <c r="D708" s="1">
        <f>E708+F708+G708+H708+I708+J708+K708+L708+M708+N708+O708</f>
        <v>0</v>
      </c>
      <c r="E708" s="1">
        <f>E713</f>
        <v>0</v>
      </c>
      <c r="F708" s="1">
        <f t="shared" ref="F708:K708" si="315">F713</f>
        <v>0</v>
      </c>
      <c r="G708" s="1">
        <f t="shared" si="315"/>
        <v>0</v>
      </c>
      <c r="H708" s="1">
        <f t="shared" si="315"/>
        <v>0</v>
      </c>
      <c r="I708" s="1">
        <f t="shared" si="315"/>
        <v>0</v>
      </c>
      <c r="J708" s="1">
        <f t="shared" si="315"/>
        <v>0</v>
      </c>
      <c r="K708" s="1">
        <f t="shared" si="315"/>
        <v>0</v>
      </c>
      <c r="L708" s="1">
        <f>L744+L755+L766+L782+L793+L800</f>
        <v>0</v>
      </c>
      <c r="M708" s="1">
        <f>M744+M755+M766+M782+M793+M800</f>
        <v>0</v>
      </c>
      <c r="N708" s="1">
        <f>N744+N755+N766+N782+N793+N800</f>
        <v>0</v>
      </c>
      <c r="O708" s="1">
        <f>O744+O755+O766+O782+O793+O800</f>
        <v>0</v>
      </c>
    </row>
    <row r="709" spans="1:19" ht="21" customHeight="1" x14ac:dyDescent="0.2">
      <c r="A709" s="113"/>
      <c r="B709" s="134"/>
      <c r="C709" s="59" t="s">
        <v>11</v>
      </c>
      <c r="D709" s="1">
        <f t="shared" si="307"/>
        <v>0</v>
      </c>
      <c r="E709" s="1">
        <f t="shared" ref="E709:K709" si="316">E714</f>
        <v>0</v>
      </c>
      <c r="F709" s="1">
        <f t="shared" si="316"/>
        <v>0</v>
      </c>
      <c r="G709" s="1">
        <f t="shared" si="316"/>
        <v>0</v>
      </c>
      <c r="H709" s="1">
        <f t="shared" si="316"/>
        <v>0</v>
      </c>
      <c r="I709" s="1">
        <f t="shared" si="316"/>
        <v>0</v>
      </c>
      <c r="J709" s="1">
        <f t="shared" si="316"/>
        <v>0</v>
      </c>
      <c r="K709" s="1">
        <f t="shared" si="316"/>
        <v>0</v>
      </c>
      <c r="L709" s="1">
        <v>0</v>
      </c>
      <c r="M709" s="1">
        <v>0</v>
      </c>
      <c r="N709" s="1">
        <v>0</v>
      </c>
      <c r="O709" s="1">
        <v>0</v>
      </c>
    </row>
    <row r="710" spans="1:19" ht="21" customHeight="1" x14ac:dyDescent="0.2">
      <c r="A710" s="113"/>
      <c r="B710" s="134"/>
      <c r="C710" s="59" t="s">
        <v>12</v>
      </c>
      <c r="D710" s="1">
        <f t="shared" ref="D710:D716" si="317">E710+F710+G710+H710+I710+J710+K710+L710+M710+N710+O710</f>
        <v>600</v>
      </c>
      <c r="E710" s="1">
        <f t="shared" ref="E710:K710" si="318">E715</f>
        <v>0</v>
      </c>
      <c r="F710" s="1">
        <f t="shared" si="318"/>
        <v>0</v>
      </c>
      <c r="G710" s="1">
        <f t="shared" si="318"/>
        <v>0</v>
      </c>
      <c r="H710" s="1">
        <f t="shared" si="318"/>
        <v>0</v>
      </c>
      <c r="I710" s="1">
        <f t="shared" si="318"/>
        <v>0</v>
      </c>
      <c r="J710" s="1">
        <f t="shared" si="318"/>
        <v>600</v>
      </c>
      <c r="K710" s="1">
        <f t="shared" si="318"/>
        <v>0</v>
      </c>
      <c r="L710" s="1">
        <v>0</v>
      </c>
      <c r="M710" s="1">
        <v>0</v>
      </c>
      <c r="N710" s="1">
        <v>0</v>
      </c>
      <c r="O710" s="1">
        <v>0</v>
      </c>
    </row>
    <row r="711" spans="1:19" ht="41.25" customHeight="1" x14ac:dyDescent="0.2">
      <c r="A711" s="113"/>
      <c r="B711" s="134"/>
      <c r="C711" s="59" t="s">
        <v>13</v>
      </c>
      <c r="D711" s="1">
        <f t="shared" si="317"/>
        <v>0</v>
      </c>
      <c r="E711" s="1">
        <f t="shared" ref="E711:K711" si="319">E716</f>
        <v>0</v>
      </c>
      <c r="F711" s="1">
        <f t="shared" si="319"/>
        <v>0</v>
      </c>
      <c r="G711" s="1">
        <f t="shared" si="319"/>
        <v>0</v>
      </c>
      <c r="H711" s="1">
        <f t="shared" si="319"/>
        <v>0</v>
      </c>
      <c r="I711" s="1">
        <f t="shared" si="319"/>
        <v>0</v>
      </c>
      <c r="J711" s="1">
        <f t="shared" si="319"/>
        <v>0</v>
      </c>
      <c r="K711" s="1">
        <f t="shared" si="319"/>
        <v>0</v>
      </c>
      <c r="L711" s="1">
        <v>0</v>
      </c>
      <c r="M711" s="1">
        <v>0</v>
      </c>
      <c r="N711" s="1">
        <v>0</v>
      </c>
      <c r="O711" s="1">
        <v>0</v>
      </c>
    </row>
    <row r="712" spans="1:19" ht="15.75" x14ac:dyDescent="0.2">
      <c r="A712" s="108" t="s">
        <v>359</v>
      </c>
      <c r="B712" s="108" t="s">
        <v>360</v>
      </c>
      <c r="C712" s="59" t="s">
        <v>7</v>
      </c>
      <c r="D712" s="1">
        <f t="shared" si="317"/>
        <v>600</v>
      </c>
      <c r="E712" s="1">
        <f t="shared" ref="E712:O712" si="320">E713+E714+E715+E716</f>
        <v>0</v>
      </c>
      <c r="F712" s="1">
        <f t="shared" si="320"/>
        <v>0</v>
      </c>
      <c r="G712" s="1">
        <f t="shared" si="320"/>
        <v>0</v>
      </c>
      <c r="H712" s="1">
        <f t="shared" si="320"/>
        <v>0</v>
      </c>
      <c r="I712" s="1">
        <f t="shared" si="320"/>
        <v>0</v>
      </c>
      <c r="J712" s="1">
        <f t="shared" si="320"/>
        <v>600</v>
      </c>
      <c r="K712" s="1">
        <f t="shared" si="320"/>
        <v>0</v>
      </c>
      <c r="L712" s="1">
        <f t="shared" si="320"/>
        <v>0</v>
      </c>
      <c r="M712" s="1">
        <f t="shared" si="320"/>
        <v>0</v>
      </c>
      <c r="N712" s="1">
        <f t="shared" si="320"/>
        <v>0</v>
      </c>
      <c r="O712" s="1">
        <f t="shared" si="320"/>
        <v>0</v>
      </c>
    </row>
    <row r="713" spans="1:19" ht="15.75" x14ac:dyDescent="0.2">
      <c r="A713" s="108"/>
      <c r="B713" s="108"/>
      <c r="C713" s="59" t="s">
        <v>10</v>
      </c>
      <c r="D713" s="1">
        <f t="shared" si="317"/>
        <v>0</v>
      </c>
      <c r="E713" s="1">
        <f t="shared" ref="E713:O713" si="321">E750+E760+E771+E787+E798+E805</f>
        <v>0</v>
      </c>
      <c r="F713" s="1">
        <f t="shared" si="321"/>
        <v>0</v>
      </c>
      <c r="G713" s="1">
        <f t="shared" si="321"/>
        <v>0</v>
      </c>
      <c r="H713" s="1">
        <f t="shared" si="321"/>
        <v>0</v>
      </c>
      <c r="I713" s="1">
        <f t="shared" si="321"/>
        <v>0</v>
      </c>
      <c r="J713" s="1">
        <f t="shared" si="321"/>
        <v>0</v>
      </c>
      <c r="K713" s="1">
        <f t="shared" si="321"/>
        <v>0</v>
      </c>
      <c r="L713" s="1">
        <f t="shared" si="321"/>
        <v>0</v>
      </c>
      <c r="M713" s="1">
        <f t="shared" si="321"/>
        <v>0</v>
      </c>
      <c r="N713" s="1">
        <f t="shared" si="321"/>
        <v>0</v>
      </c>
      <c r="O713" s="1">
        <f t="shared" si="321"/>
        <v>0</v>
      </c>
    </row>
    <row r="714" spans="1:19" ht="15.75" x14ac:dyDescent="0.2">
      <c r="A714" s="108"/>
      <c r="B714" s="108"/>
      <c r="C714" s="59" t="s">
        <v>11</v>
      </c>
      <c r="D714" s="1">
        <f t="shared" si="317"/>
        <v>0</v>
      </c>
      <c r="E714" s="1">
        <v>0</v>
      </c>
      <c r="F714" s="1">
        <v>0</v>
      </c>
      <c r="G714" s="1">
        <v>0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">
        <v>0</v>
      </c>
    </row>
    <row r="715" spans="1:19" ht="15.75" x14ac:dyDescent="0.2">
      <c r="A715" s="108"/>
      <c r="B715" s="108"/>
      <c r="C715" s="59" t="s">
        <v>12</v>
      </c>
      <c r="D715" s="1">
        <f t="shared" si="317"/>
        <v>600</v>
      </c>
      <c r="E715" s="1">
        <v>0</v>
      </c>
      <c r="F715" s="1">
        <v>0</v>
      </c>
      <c r="G715" s="1">
        <v>0</v>
      </c>
      <c r="H715" s="1">
        <v>0</v>
      </c>
      <c r="I715" s="1">
        <v>0</v>
      </c>
      <c r="J715" s="1">
        <v>600</v>
      </c>
      <c r="K715" s="1">
        <v>0</v>
      </c>
      <c r="L715" s="1">
        <v>0</v>
      </c>
      <c r="M715" s="1">
        <v>0</v>
      </c>
      <c r="N715" s="1">
        <v>0</v>
      </c>
      <c r="O715" s="1">
        <v>0</v>
      </c>
    </row>
    <row r="716" spans="1:19" ht="24" customHeight="1" x14ac:dyDescent="0.2">
      <c r="A716" s="108"/>
      <c r="B716" s="108"/>
      <c r="C716" s="59" t="s">
        <v>13</v>
      </c>
      <c r="D716" s="1">
        <f t="shared" si="317"/>
        <v>0</v>
      </c>
      <c r="E716" s="1">
        <f>E763+E774+E790+E802+E809</f>
        <v>0</v>
      </c>
      <c r="F716" s="1">
        <f>F763+F774+F790+F802+F809</f>
        <v>0</v>
      </c>
      <c r="G716" s="1">
        <f>G763+G774+G790+G802+G809</f>
        <v>0</v>
      </c>
      <c r="H716" s="1">
        <f>H763+H774+H790+H802+H809</f>
        <v>0</v>
      </c>
      <c r="I716" s="1">
        <f>I763+I774+I790+I802+I809</f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</row>
    <row r="717" spans="1:19" ht="24" customHeight="1" x14ac:dyDescent="0.2">
      <c r="A717" s="108" t="s">
        <v>392</v>
      </c>
      <c r="B717" s="108" t="s">
        <v>394</v>
      </c>
      <c r="C717" s="59" t="s">
        <v>7</v>
      </c>
      <c r="D717" s="1">
        <f>E717+F717+G717+H717+I717+J717+K717+L717+M717+N717+O717</f>
        <v>25999.5</v>
      </c>
      <c r="E717" s="1">
        <f>E718+E719+E720+E721</f>
        <v>0</v>
      </c>
      <c r="F717" s="1">
        <f t="shared" ref="F717:O717" si="322">F718+F719+F720+F721</f>
        <v>0</v>
      </c>
      <c r="G717" s="1">
        <f t="shared" si="322"/>
        <v>0</v>
      </c>
      <c r="H717" s="1">
        <f t="shared" si="322"/>
        <v>0</v>
      </c>
      <c r="I717" s="1">
        <f t="shared" si="322"/>
        <v>0</v>
      </c>
      <c r="J717" s="1">
        <f t="shared" si="322"/>
        <v>0</v>
      </c>
      <c r="K717" s="1">
        <f t="shared" si="322"/>
        <v>13798.2</v>
      </c>
      <c r="L717" s="1">
        <f t="shared" si="322"/>
        <v>5613</v>
      </c>
      <c r="M717" s="1">
        <f t="shared" si="322"/>
        <v>6588.2999999999993</v>
      </c>
      <c r="N717" s="1">
        <f t="shared" si="322"/>
        <v>0</v>
      </c>
      <c r="O717" s="1">
        <f t="shared" si="322"/>
        <v>0</v>
      </c>
    </row>
    <row r="718" spans="1:19" ht="24" customHeight="1" x14ac:dyDescent="0.2">
      <c r="A718" s="113"/>
      <c r="B718" s="134"/>
      <c r="C718" s="59" t="s">
        <v>10</v>
      </c>
      <c r="D718" s="1">
        <f t="shared" ref="D718:D726" si="323">E718+F718+G718+H718+I718+J718+K718+L718+M718+N718+O718</f>
        <v>0</v>
      </c>
      <c r="E718" s="1">
        <f t="shared" ref="E718:I718" si="324">E755+E765+E776+E792+E803+E810</f>
        <v>0</v>
      </c>
      <c r="F718" s="1">
        <f t="shared" si="324"/>
        <v>0</v>
      </c>
      <c r="G718" s="1">
        <f t="shared" si="324"/>
        <v>0</v>
      </c>
      <c r="H718" s="1">
        <f t="shared" si="324"/>
        <v>0</v>
      </c>
      <c r="I718" s="1">
        <f t="shared" si="324"/>
        <v>0</v>
      </c>
      <c r="J718" s="1">
        <v>0</v>
      </c>
      <c r="K718" s="1">
        <f t="shared" ref="K718:O718" si="325">K755+K765+K776+K792+K803+K810</f>
        <v>0</v>
      </c>
      <c r="L718" s="1">
        <f t="shared" si="325"/>
        <v>0</v>
      </c>
      <c r="M718" s="1">
        <f t="shared" si="325"/>
        <v>0</v>
      </c>
      <c r="N718" s="1">
        <f t="shared" si="325"/>
        <v>0</v>
      </c>
      <c r="O718" s="1">
        <f t="shared" si="325"/>
        <v>0</v>
      </c>
    </row>
    <row r="719" spans="1:19" ht="24" customHeight="1" x14ac:dyDescent="0.2">
      <c r="A719" s="113"/>
      <c r="B719" s="134"/>
      <c r="C719" s="59" t="s">
        <v>11</v>
      </c>
      <c r="D719" s="1">
        <f t="shared" si="323"/>
        <v>0</v>
      </c>
      <c r="E719" s="1">
        <v>0</v>
      </c>
      <c r="F719" s="1">
        <v>0</v>
      </c>
      <c r="G719" s="1">
        <v>0</v>
      </c>
      <c r="H719" s="1">
        <v>0</v>
      </c>
      <c r="I719" s="1">
        <v>0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1">
        <v>0</v>
      </c>
    </row>
    <row r="720" spans="1:19" ht="24" customHeight="1" x14ac:dyDescent="0.2">
      <c r="A720" s="113"/>
      <c r="B720" s="134"/>
      <c r="C720" s="59" t="s">
        <v>12</v>
      </c>
      <c r="D720" s="1">
        <f t="shared" si="323"/>
        <v>25999.5</v>
      </c>
      <c r="E720" s="1">
        <v>0</v>
      </c>
      <c r="F720" s="1">
        <v>0</v>
      </c>
      <c r="G720" s="1">
        <v>0</v>
      </c>
      <c r="H720" s="1">
        <v>0</v>
      </c>
      <c r="I720" s="1">
        <v>0</v>
      </c>
      <c r="J720" s="1">
        <f>J725</f>
        <v>0</v>
      </c>
      <c r="K720" s="1">
        <f>K725</f>
        <v>13798.2</v>
      </c>
      <c r="L720" s="1">
        <f>L725+L730</f>
        <v>5613</v>
      </c>
      <c r="M720" s="1">
        <f t="shared" ref="M720:S720" si="326">M725+M730</f>
        <v>6588.2999999999993</v>
      </c>
      <c r="N720" s="1">
        <f t="shared" si="326"/>
        <v>0</v>
      </c>
      <c r="O720" s="1">
        <f t="shared" si="326"/>
        <v>0</v>
      </c>
      <c r="P720" s="1">
        <f t="shared" si="326"/>
        <v>0</v>
      </c>
      <c r="Q720" s="1">
        <f t="shared" si="326"/>
        <v>0</v>
      </c>
      <c r="R720" s="1">
        <f t="shared" si="326"/>
        <v>0</v>
      </c>
      <c r="S720" s="1">
        <f t="shared" si="326"/>
        <v>0</v>
      </c>
    </row>
    <row r="721" spans="1:17" ht="24" customHeight="1" x14ac:dyDescent="0.2">
      <c r="A721" s="113"/>
      <c r="B721" s="134"/>
      <c r="C721" s="59" t="s">
        <v>13</v>
      </c>
      <c r="D721" s="1">
        <f t="shared" si="323"/>
        <v>0</v>
      </c>
      <c r="E721" s="1">
        <f>E768+E779+E795+E807+E814</f>
        <v>0</v>
      </c>
      <c r="F721" s="1">
        <f>F768+F779+F795+F807+F814</f>
        <v>0</v>
      </c>
      <c r="G721" s="1">
        <f>G768+G779+G795+G807+G814</f>
        <v>0</v>
      </c>
      <c r="H721" s="1">
        <f>H768+H779+H795+H807+H814</f>
        <v>0</v>
      </c>
      <c r="I721" s="1">
        <f>I768+I779+I795+I807+I814</f>
        <v>0</v>
      </c>
      <c r="J721" s="1">
        <v>0</v>
      </c>
      <c r="K721" s="1">
        <v>0</v>
      </c>
      <c r="L721" s="1">
        <v>0</v>
      </c>
      <c r="M721" s="1">
        <v>0</v>
      </c>
      <c r="N721" s="1">
        <v>0</v>
      </c>
      <c r="O721" s="1">
        <v>0</v>
      </c>
    </row>
    <row r="722" spans="1:17" ht="24" customHeight="1" x14ac:dyDescent="0.2">
      <c r="A722" s="108" t="s">
        <v>393</v>
      </c>
      <c r="B722" s="108" t="s">
        <v>395</v>
      </c>
      <c r="C722" s="59" t="s">
        <v>7</v>
      </c>
      <c r="D722" s="1">
        <f t="shared" ref="D722:N722" si="327">D723+D724+D725+D726</f>
        <v>18358.600000000002</v>
      </c>
      <c r="E722" s="1">
        <f t="shared" si="327"/>
        <v>0</v>
      </c>
      <c r="F722" s="1">
        <f t="shared" si="327"/>
        <v>0</v>
      </c>
      <c r="G722" s="1">
        <f t="shared" si="327"/>
        <v>0</v>
      </c>
      <c r="H722" s="1">
        <f t="shared" si="327"/>
        <v>0</v>
      </c>
      <c r="I722" s="1">
        <f t="shared" si="327"/>
        <v>0</v>
      </c>
      <c r="J722" s="1">
        <f t="shared" si="327"/>
        <v>0</v>
      </c>
      <c r="K722" s="1">
        <f t="shared" si="327"/>
        <v>13798.2</v>
      </c>
      <c r="L722" s="1">
        <f t="shared" si="327"/>
        <v>598</v>
      </c>
      <c r="M722" s="1">
        <f t="shared" si="327"/>
        <v>3962.4</v>
      </c>
      <c r="N722" s="1">
        <f t="shared" si="327"/>
        <v>0</v>
      </c>
      <c r="O722" s="1"/>
    </row>
    <row r="723" spans="1:17" ht="24" customHeight="1" x14ac:dyDescent="0.2">
      <c r="A723" s="108"/>
      <c r="B723" s="108"/>
      <c r="C723" s="59" t="s">
        <v>10</v>
      </c>
      <c r="D723" s="1">
        <f>E723+F723+G723+H723+I723+J723+K723+L723+M723+N723+O723</f>
        <v>0</v>
      </c>
      <c r="E723" s="1">
        <f t="shared" ref="E723:I723" si="328">E760+E770+E781+E797+E808+E815</f>
        <v>0</v>
      </c>
      <c r="F723" s="1">
        <f t="shared" si="328"/>
        <v>0</v>
      </c>
      <c r="G723" s="1">
        <f t="shared" si="328"/>
        <v>0</v>
      </c>
      <c r="H723" s="1">
        <f t="shared" si="328"/>
        <v>0</v>
      </c>
      <c r="I723" s="1">
        <f t="shared" si="328"/>
        <v>0</v>
      </c>
      <c r="J723" s="1">
        <v>0</v>
      </c>
      <c r="K723" s="1">
        <f t="shared" ref="K723:O723" si="329">K760+K770+K781+K797+K808+K815</f>
        <v>0</v>
      </c>
      <c r="L723" s="1">
        <f t="shared" si="329"/>
        <v>0</v>
      </c>
      <c r="M723" s="1">
        <f t="shared" si="329"/>
        <v>0</v>
      </c>
      <c r="N723" s="1">
        <f t="shared" si="329"/>
        <v>0</v>
      </c>
      <c r="O723" s="1">
        <f t="shared" si="329"/>
        <v>0</v>
      </c>
    </row>
    <row r="724" spans="1:17" ht="24" customHeight="1" x14ac:dyDescent="0.2">
      <c r="A724" s="108"/>
      <c r="B724" s="108"/>
      <c r="C724" s="59" t="s">
        <v>11</v>
      </c>
      <c r="D724" s="1">
        <f t="shared" si="323"/>
        <v>0</v>
      </c>
      <c r="E724" s="1">
        <v>0</v>
      </c>
      <c r="F724" s="1">
        <v>0</v>
      </c>
      <c r="G724" s="1">
        <v>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1">
        <v>0</v>
      </c>
    </row>
    <row r="725" spans="1:17" ht="24" customHeight="1" x14ac:dyDescent="0.2">
      <c r="A725" s="108"/>
      <c r="B725" s="108"/>
      <c r="C725" s="59" t="s">
        <v>12</v>
      </c>
      <c r="D725" s="1">
        <f t="shared" si="323"/>
        <v>18358.600000000002</v>
      </c>
      <c r="E725" s="1">
        <v>0</v>
      </c>
      <c r="F725" s="1">
        <v>0</v>
      </c>
      <c r="G725" s="1">
        <v>0</v>
      </c>
      <c r="H725" s="1">
        <v>0</v>
      </c>
      <c r="I725" s="1">
        <v>0</v>
      </c>
      <c r="J725" s="1">
        <v>0</v>
      </c>
      <c r="K725" s="1">
        <f>19000-5201.8+71.4-71.4</f>
        <v>13798.2</v>
      </c>
      <c r="L725" s="1">
        <f>700+8000-8000-102</f>
        <v>598</v>
      </c>
      <c r="M725" s="1">
        <f>0+3962.4</f>
        <v>3962.4</v>
      </c>
      <c r="N725" s="1">
        <v>0</v>
      </c>
      <c r="O725" s="1">
        <v>0</v>
      </c>
    </row>
    <row r="726" spans="1:17" ht="24" customHeight="1" x14ac:dyDescent="0.2">
      <c r="A726" s="108"/>
      <c r="B726" s="108"/>
      <c r="C726" s="59" t="s">
        <v>13</v>
      </c>
      <c r="D726" s="1">
        <f t="shared" si="323"/>
        <v>0</v>
      </c>
      <c r="E726" s="1">
        <f>E773+E784+E800+E812+E819</f>
        <v>0</v>
      </c>
      <c r="F726" s="1">
        <f>F773+F784+F800+F812+F819</f>
        <v>0</v>
      </c>
      <c r="G726" s="1">
        <f>G773+G784+G800+G812+G819</f>
        <v>0</v>
      </c>
      <c r="H726" s="1">
        <f>H773+H784+H800+H812+H819</f>
        <v>0</v>
      </c>
      <c r="I726" s="1">
        <f>I773+I784+I800+I812+I819</f>
        <v>0</v>
      </c>
      <c r="J726" s="1">
        <v>0</v>
      </c>
      <c r="K726" s="1">
        <v>0</v>
      </c>
      <c r="L726" s="1">
        <v>0</v>
      </c>
      <c r="M726" s="1">
        <v>0</v>
      </c>
      <c r="N726" s="1">
        <v>0</v>
      </c>
      <c r="O726" s="1">
        <v>0</v>
      </c>
    </row>
    <row r="727" spans="1:17" ht="24" customHeight="1" x14ac:dyDescent="0.2">
      <c r="A727" s="108" t="s">
        <v>416</v>
      </c>
      <c r="B727" s="103" t="s">
        <v>417</v>
      </c>
      <c r="C727" s="59" t="s">
        <v>7</v>
      </c>
      <c r="D727" s="1">
        <f t="shared" ref="D727:N727" si="330">D728+D729+D730+D731</f>
        <v>7640.9</v>
      </c>
      <c r="E727" s="1">
        <f t="shared" si="330"/>
        <v>0</v>
      </c>
      <c r="F727" s="1">
        <f t="shared" si="330"/>
        <v>0</v>
      </c>
      <c r="G727" s="1">
        <f t="shared" si="330"/>
        <v>0</v>
      </c>
      <c r="H727" s="1">
        <f t="shared" si="330"/>
        <v>0</v>
      </c>
      <c r="I727" s="1">
        <f t="shared" si="330"/>
        <v>0</v>
      </c>
      <c r="J727" s="1">
        <f t="shared" si="330"/>
        <v>0</v>
      </c>
      <c r="K727" s="1">
        <f t="shared" si="330"/>
        <v>0</v>
      </c>
      <c r="L727" s="1">
        <f t="shared" si="330"/>
        <v>5015</v>
      </c>
      <c r="M727" s="1">
        <f t="shared" si="330"/>
        <v>2625.8999999999996</v>
      </c>
      <c r="N727" s="1">
        <f t="shared" si="330"/>
        <v>0</v>
      </c>
      <c r="O727" s="1"/>
    </row>
    <row r="728" spans="1:17" ht="24" customHeight="1" x14ac:dyDescent="0.2">
      <c r="A728" s="108"/>
      <c r="B728" s="103"/>
      <c r="C728" s="59" t="s">
        <v>10</v>
      </c>
      <c r="D728" s="1">
        <f>E728+F728+G728+H728+I728+J728+K728+L728+M728+N728+O728</f>
        <v>0</v>
      </c>
      <c r="E728" s="1">
        <f t="shared" ref="E728:I728" si="331">E765+E775+E786+E802+E813+E820</f>
        <v>0</v>
      </c>
      <c r="F728" s="1">
        <f t="shared" si="331"/>
        <v>0</v>
      </c>
      <c r="G728" s="1">
        <f t="shared" si="331"/>
        <v>0</v>
      </c>
      <c r="H728" s="1">
        <f t="shared" si="331"/>
        <v>0</v>
      </c>
      <c r="I728" s="1">
        <f t="shared" si="331"/>
        <v>0</v>
      </c>
      <c r="J728" s="1">
        <v>0</v>
      </c>
      <c r="K728" s="1">
        <f t="shared" ref="K728:O728" si="332">K765+K775+K786+K802+K813+K820</f>
        <v>0</v>
      </c>
      <c r="L728" s="1">
        <f t="shared" si="332"/>
        <v>0</v>
      </c>
      <c r="M728" s="1">
        <f t="shared" si="332"/>
        <v>0</v>
      </c>
      <c r="N728" s="1">
        <f t="shared" si="332"/>
        <v>0</v>
      </c>
      <c r="O728" s="1">
        <f t="shared" si="332"/>
        <v>0</v>
      </c>
    </row>
    <row r="729" spans="1:17" ht="24" customHeight="1" x14ac:dyDescent="0.2">
      <c r="A729" s="108"/>
      <c r="B729" s="103"/>
      <c r="C729" s="59" t="s">
        <v>11</v>
      </c>
      <c r="D729" s="1">
        <f t="shared" ref="D729:D731" si="333">E729+F729+G729+H729+I729+J729+K729+L729+M729+N729+O729</f>
        <v>0</v>
      </c>
      <c r="E729" s="1">
        <v>0</v>
      </c>
      <c r="F729" s="1">
        <v>0</v>
      </c>
      <c r="G729" s="1">
        <v>0</v>
      </c>
      <c r="H729" s="1">
        <v>0</v>
      </c>
      <c r="I729" s="1">
        <v>0</v>
      </c>
      <c r="J729" s="1">
        <v>0</v>
      </c>
      <c r="K729" s="1">
        <v>0</v>
      </c>
      <c r="L729" s="1">
        <v>0</v>
      </c>
      <c r="M729" s="1">
        <v>0</v>
      </c>
      <c r="N729" s="1">
        <v>0</v>
      </c>
      <c r="O729" s="1">
        <v>0</v>
      </c>
    </row>
    <row r="730" spans="1:17" ht="24" customHeight="1" x14ac:dyDescent="0.2">
      <c r="A730" s="108"/>
      <c r="B730" s="103"/>
      <c r="C730" s="59" t="s">
        <v>12</v>
      </c>
      <c r="D730" s="1">
        <f t="shared" si="333"/>
        <v>7640.9</v>
      </c>
      <c r="E730" s="1">
        <v>0</v>
      </c>
      <c r="F730" s="1">
        <v>0</v>
      </c>
      <c r="G730" s="1">
        <v>0</v>
      </c>
      <c r="H730" s="1">
        <v>0</v>
      </c>
      <c r="I730" s="1">
        <v>0</v>
      </c>
      <c r="J730" s="1">
        <v>0</v>
      </c>
      <c r="K730" s="1">
        <v>0</v>
      </c>
      <c r="L730" s="1">
        <f>2484.5+2515.5+15</f>
        <v>5015</v>
      </c>
      <c r="M730" s="1">
        <f>1435.1+1190.8</f>
        <v>2625.8999999999996</v>
      </c>
      <c r="N730" s="1">
        <v>0</v>
      </c>
      <c r="O730" s="1">
        <v>0</v>
      </c>
    </row>
    <row r="731" spans="1:17" ht="24" customHeight="1" x14ac:dyDescent="0.2">
      <c r="A731" s="108"/>
      <c r="B731" s="103"/>
      <c r="C731" s="59" t="s">
        <v>13</v>
      </c>
      <c r="D731" s="1">
        <f t="shared" si="333"/>
        <v>0</v>
      </c>
      <c r="E731" s="1">
        <f>E778+E789+E805+E817+E824</f>
        <v>0</v>
      </c>
      <c r="F731" s="1">
        <f>F778+F789+F805+F817+F824</f>
        <v>0</v>
      </c>
      <c r="G731" s="1">
        <f>G778+G789+G805+G817+G824</f>
        <v>0</v>
      </c>
      <c r="H731" s="1">
        <f>H778+H789+H805+H817+H824</f>
        <v>0</v>
      </c>
      <c r="I731" s="1">
        <f>I778+I789+I805+I817+I824</f>
        <v>0</v>
      </c>
      <c r="J731" s="1">
        <v>0</v>
      </c>
      <c r="K731" s="1">
        <v>0</v>
      </c>
      <c r="L731" s="1">
        <v>0</v>
      </c>
      <c r="M731" s="1">
        <v>0</v>
      </c>
      <c r="N731" s="1">
        <v>0</v>
      </c>
      <c r="O731" s="1">
        <v>0</v>
      </c>
    </row>
    <row r="732" spans="1:17" ht="15.75" x14ac:dyDescent="0.2">
      <c r="A732" s="110" t="s">
        <v>42</v>
      </c>
      <c r="B732" s="141" t="s">
        <v>327</v>
      </c>
      <c r="C732" s="75" t="s">
        <v>7</v>
      </c>
      <c r="D732" s="2">
        <f t="shared" si="307"/>
        <v>583820.07500000007</v>
      </c>
      <c r="E732" s="2">
        <f t="shared" ref="E732:O732" si="334">E735+E733+E734+E736</f>
        <v>31873.5</v>
      </c>
      <c r="F732" s="2">
        <f t="shared" si="334"/>
        <v>32215.200000000001</v>
      </c>
      <c r="G732" s="2">
        <f t="shared" si="334"/>
        <v>32536.1</v>
      </c>
      <c r="H732" s="2">
        <f t="shared" si="334"/>
        <v>34467.4</v>
      </c>
      <c r="I732" s="2">
        <f t="shared" si="334"/>
        <v>42249.1</v>
      </c>
      <c r="J732" s="2">
        <f t="shared" si="334"/>
        <v>51925.4</v>
      </c>
      <c r="K732" s="2">
        <f t="shared" si="334"/>
        <v>66037.599999999991</v>
      </c>
      <c r="L732" s="2">
        <f t="shared" si="334"/>
        <v>68745.7</v>
      </c>
      <c r="M732" s="2">
        <f t="shared" si="334"/>
        <v>71110.274999999994</v>
      </c>
      <c r="N732" s="2">
        <f t="shared" si="334"/>
        <v>74615.900000000009</v>
      </c>
      <c r="O732" s="2">
        <f t="shared" si="334"/>
        <v>78043.900000000009</v>
      </c>
      <c r="P732" s="63">
        <f>D733+D734+D735+D736</f>
        <v>583820.07500000007</v>
      </c>
      <c r="Q732" s="63"/>
    </row>
    <row r="733" spans="1:17" ht="19.5" customHeight="1" x14ac:dyDescent="0.2">
      <c r="A733" s="110"/>
      <c r="B733" s="141"/>
      <c r="C733" s="51" t="s">
        <v>10</v>
      </c>
      <c r="D733" s="1">
        <f t="shared" si="307"/>
        <v>0</v>
      </c>
      <c r="E733" s="1">
        <f t="shared" ref="E733:K736" si="335">E738</f>
        <v>0</v>
      </c>
      <c r="F733" s="1">
        <f t="shared" si="335"/>
        <v>0</v>
      </c>
      <c r="G733" s="1">
        <f t="shared" si="335"/>
        <v>0</v>
      </c>
      <c r="H733" s="1">
        <f t="shared" si="335"/>
        <v>0</v>
      </c>
      <c r="I733" s="1">
        <f t="shared" si="335"/>
        <v>0</v>
      </c>
      <c r="J733" s="1">
        <f t="shared" si="335"/>
        <v>0</v>
      </c>
      <c r="K733" s="1">
        <f t="shared" si="335"/>
        <v>0</v>
      </c>
      <c r="L733" s="1">
        <f t="shared" ref="L733:O734" si="336">L738</f>
        <v>0</v>
      </c>
      <c r="M733" s="1">
        <f t="shared" si="336"/>
        <v>0</v>
      </c>
      <c r="N733" s="1">
        <f t="shared" si="336"/>
        <v>0</v>
      </c>
      <c r="O733" s="1">
        <f t="shared" si="336"/>
        <v>0</v>
      </c>
    </row>
    <row r="734" spans="1:17" ht="16.5" customHeight="1" x14ac:dyDescent="0.2">
      <c r="A734" s="110"/>
      <c r="B734" s="141"/>
      <c r="C734" s="51" t="s">
        <v>11</v>
      </c>
      <c r="D734" s="1">
        <f t="shared" si="307"/>
        <v>0</v>
      </c>
      <c r="E734" s="1">
        <f t="shared" si="335"/>
        <v>0</v>
      </c>
      <c r="F734" s="1">
        <f t="shared" si="335"/>
        <v>0</v>
      </c>
      <c r="G734" s="1">
        <f t="shared" si="335"/>
        <v>0</v>
      </c>
      <c r="H734" s="1">
        <f t="shared" si="335"/>
        <v>0</v>
      </c>
      <c r="I734" s="1">
        <f t="shared" si="335"/>
        <v>0</v>
      </c>
      <c r="J734" s="1">
        <f>J739</f>
        <v>0</v>
      </c>
      <c r="K734" s="1">
        <f>K739</f>
        <v>0</v>
      </c>
      <c r="L734" s="1">
        <f t="shared" si="336"/>
        <v>0</v>
      </c>
      <c r="M734" s="1">
        <f t="shared" si="336"/>
        <v>0</v>
      </c>
      <c r="N734" s="1">
        <f t="shared" si="336"/>
        <v>0</v>
      </c>
      <c r="O734" s="1">
        <f t="shared" si="336"/>
        <v>0</v>
      </c>
    </row>
    <row r="735" spans="1:17" ht="15" customHeight="1" x14ac:dyDescent="0.2">
      <c r="A735" s="110"/>
      <c r="B735" s="141"/>
      <c r="C735" s="51" t="s">
        <v>12</v>
      </c>
      <c r="D735" s="1">
        <f t="shared" si="307"/>
        <v>583820.07500000007</v>
      </c>
      <c r="E735" s="1">
        <f>E740</f>
        <v>31873.5</v>
      </c>
      <c r="F735" s="1">
        <f t="shared" si="335"/>
        <v>32215.200000000001</v>
      </c>
      <c r="G735" s="1">
        <f>G737</f>
        <v>32536.1</v>
      </c>
      <c r="H735" s="1">
        <f>H737</f>
        <v>34467.4</v>
      </c>
      <c r="I735" s="1">
        <f>I737</f>
        <v>42249.1</v>
      </c>
      <c r="J735" s="1">
        <f t="shared" ref="J735:M735" si="337">J740</f>
        <v>51925.4</v>
      </c>
      <c r="K735" s="1">
        <f t="shared" si="337"/>
        <v>66037.599999999991</v>
      </c>
      <c r="L735" s="1">
        <f t="shared" si="337"/>
        <v>68745.7</v>
      </c>
      <c r="M735" s="1">
        <f t="shared" si="337"/>
        <v>71110.274999999994</v>
      </c>
      <c r="N735" s="1">
        <f>N740</f>
        <v>74615.900000000009</v>
      </c>
      <c r="O735" s="1">
        <f>O740</f>
        <v>78043.900000000009</v>
      </c>
    </row>
    <row r="736" spans="1:17" s="5" customFormat="1" ht="45" customHeight="1" x14ac:dyDescent="0.25">
      <c r="A736" s="110"/>
      <c r="B736" s="141"/>
      <c r="C736" s="51" t="s">
        <v>13</v>
      </c>
      <c r="D736" s="1">
        <f t="shared" si="307"/>
        <v>0</v>
      </c>
      <c r="E736" s="1">
        <f t="shared" si="335"/>
        <v>0</v>
      </c>
      <c r="F736" s="1">
        <f t="shared" si="335"/>
        <v>0</v>
      </c>
      <c r="G736" s="1">
        <f t="shared" si="335"/>
        <v>0</v>
      </c>
      <c r="H736" s="1">
        <f t="shared" si="335"/>
        <v>0</v>
      </c>
      <c r="I736" s="1">
        <f t="shared" si="335"/>
        <v>0</v>
      </c>
      <c r="J736" s="1">
        <f t="shared" ref="J736:O736" si="338">J741</f>
        <v>0</v>
      </c>
      <c r="K736" s="1">
        <f t="shared" si="338"/>
        <v>0</v>
      </c>
      <c r="L736" s="1">
        <f t="shared" si="338"/>
        <v>0</v>
      </c>
      <c r="M736" s="1">
        <f t="shared" si="338"/>
        <v>0</v>
      </c>
      <c r="N736" s="1">
        <f t="shared" si="338"/>
        <v>0</v>
      </c>
      <c r="O736" s="1">
        <f t="shared" si="338"/>
        <v>0</v>
      </c>
    </row>
    <row r="737" spans="1:15" ht="15.75" customHeight="1" x14ac:dyDescent="0.2">
      <c r="A737" s="108" t="s">
        <v>334</v>
      </c>
      <c r="B737" s="103" t="s">
        <v>144</v>
      </c>
      <c r="C737" s="51" t="s">
        <v>7</v>
      </c>
      <c r="D737" s="1">
        <f t="shared" si="307"/>
        <v>583820.07500000007</v>
      </c>
      <c r="E737" s="1">
        <f t="shared" ref="E737:O737" si="339">SUM(E738:E741)</f>
        <v>31873.5</v>
      </c>
      <c r="F737" s="1">
        <f t="shared" si="339"/>
        <v>32215.200000000001</v>
      </c>
      <c r="G737" s="1">
        <f t="shared" si="339"/>
        <v>32536.1</v>
      </c>
      <c r="H737" s="1">
        <f t="shared" si="339"/>
        <v>34467.4</v>
      </c>
      <c r="I737" s="1">
        <f t="shared" si="339"/>
        <v>42249.1</v>
      </c>
      <c r="J737" s="1">
        <f t="shared" si="339"/>
        <v>51925.4</v>
      </c>
      <c r="K737" s="1">
        <f t="shared" si="339"/>
        <v>66037.599999999991</v>
      </c>
      <c r="L737" s="1">
        <f t="shared" si="339"/>
        <v>68745.7</v>
      </c>
      <c r="M737" s="1">
        <f t="shared" si="339"/>
        <v>71110.274999999994</v>
      </c>
      <c r="N737" s="1">
        <f t="shared" si="339"/>
        <v>74615.900000000009</v>
      </c>
      <c r="O737" s="1">
        <f t="shared" si="339"/>
        <v>78043.900000000009</v>
      </c>
    </row>
    <row r="738" spans="1:15" ht="17.25" customHeight="1" x14ac:dyDescent="0.2">
      <c r="A738" s="108"/>
      <c r="B738" s="103"/>
      <c r="C738" s="51" t="s">
        <v>10</v>
      </c>
      <c r="D738" s="1">
        <f t="shared" si="307"/>
        <v>0</v>
      </c>
      <c r="E738" s="1">
        <v>0</v>
      </c>
      <c r="F738" s="1">
        <v>0</v>
      </c>
      <c r="G738" s="1">
        <v>0</v>
      </c>
      <c r="H738" s="1">
        <v>0</v>
      </c>
      <c r="I738" s="1">
        <v>0</v>
      </c>
      <c r="J738" s="1">
        <v>0</v>
      </c>
      <c r="K738" s="1">
        <v>0</v>
      </c>
      <c r="L738" s="1">
        <v>0</v>
      </c>
      <c r="M738" s="1">
        <v>0</v>
      </c>
      <c r="N738" s="1">
        <v>0</v>
      </c>
      <c r="O738" s="1">
        <v>0</v>
      </c>
    </row>
    <row r="739" spans="1:15" ht="18" customHeight="1" x14ac:dyDescent="0.2">
      <c r="A739" s="108"/>
      <c r="B739" s="103"/>
      <c r="C739" s="51" t="s">
        <v>11</v>
      </c>
      <c r="D739" s="1">
        <f t="shared" si="307"/>
        <v>0</v>
      </c>
      <c r="E739" s="1">
        <v>0</v>
      </c>
      <c r="F739" s="1">
        <v>0</v>
      </c>
      <c r="G739" s="1">
        <v>0</v>
      </c>
      <c r="H739" s="1">
        <v>0</v>
      </c>
      <c r="I739" s="1">
        <v>0</v>
      </c>
      <c r="J739" s="1">
        <v>0</v>
      </c>
      <c r="K739" s="1">
        <v>0</v>
      </c>
      <c r="L739" s="1">
        <v>0</v>
      </c>
      <c r="M739" s="1">
        <v>0</v>
      </c>
      <c r="N739" s="1">
        <v>0</v>
      </c>
      <c r="O739" s="1">
        <v>0</v>
      </c>
    </row>
    <row r="740" spans="1:15" ht="18" customHeight="1" x14ac:dyDescent="0.2">
      <c r="A740" s="108"/>
      <c r="B740" s="103"/>
      <c r="C740" s="51" t="s">
        <v>12</v>
      </c>
      <c r="D740" s="1">
        <f t="shared" si="307"/>
        <v>583820.07500000007</v>
      </c>
      <c r="E740" s="1">
        <f>E745</f>
        <v>31873.5</v>
      </c>
      <c r="F740" s="1">
        <f>F745</f>
        <v>32215.200000000001</v>
      </c>
      <c r="G740" s="1">
        <f>G745</f>
        <v>32536.1</v>
      </c>
      <c r="H740" s="1">
        <f t="shared" ref="H740:O740" si="340">H745</f>
        <v>34467.4</v>
      </c>
      <c r="I740" s="1">
        <f t="shared" si="340"/>
        <v>42249.1</v>
      </c>
      <c r="J740" s="1">
        <f t="shared" si="340"/>
        <v>51925.4</v>
      </c>
      <c r="K740" s="1">
        <f t="shared" si="340"/>
        <v>66037.599999999991</v>
      </c>
      <c r="L740" s="1">
        <f t="shared" si="340"/>
        <v>68745.7</v>
      </c>
      <c r="M740" s="1">
        <f t="shared" si="340"/>
        <v>71110.274999999994</v>
      </c>
      <c r="N740" s="1">
        <f t="shared" si="340"/>
        <v>74615.900000000009</v>
      </c>
      <c r="O740" s="1">
        <f t="shared" si="340"/>
        <v>78043.900000000009</v>
      </c>
    </row>
    <row r="741" spans="1:15" ht="15.75" customHeight="1" x14ac:dyDescent="0.2">
      <c r="A741" s="108"/>
      <c r="B741" s="103"/>
      <c r="C741" s="51" t="s">
        <v>13</v>
      </c>
      <c r="D741" s="1">
        <f t="shared" si="307"/>
        <v>0</v>
      </c>
      <c r="E741" s="1">
        <v>0</v>
      </c>
      <c r="F741" s="1">
        <v>0</v>
      </c>
      <c r="G741" s="1">
        <v>0</v>
      </c>
      <c r="H741" s="1">
        <v>0</v>
      </c>
      <c r="I741" s="1">
        <v>0</v>
      </c>
      <c r="J741" s="1">
        <v>0</v>
      </c>
      <c r="K741" s="1">
        <v>0</v>
      </c>
      <c r="L741" s="1">
        <v>0</v>
      </c>
      <c r="M741" s="1">
        <v>0</v>
      </c>
      <c r="N741" s="1">
        <v>0</v>
      </c>
      <c r="O741" s="1">
        <v>0</v>
      </c>
    </row>
    <row r="742" spans="1:15" ht="15.75" x14ac:dyDescent="0.2">
      <c r="A742" s="108" t="s">
        <v>143</v>
      </c>
      <c r="B742" s="103" t="s">
        <v>56</v>
      </c>
      <c r="C742" s="51" t="s">
        <v>7</v>
      </c>
      <c r="D742" s="1">
        <f t="shared" si="307"/>
        <v>583820.07500000007</v>
      </c>
      <c r="E742" s="1">
        <f t="shared" ref="E742:O742" si="341">SUM(E743:E746)</f>
        <v>31873.5</v>
      </c>
      <c r="F742" s="1">
        <f t="shared" si="341"/>
        <v>32215.200000000001</v>
      </c>
      <c r="G742" s="1">
        <f t="shared" si="341"/>
        <v>32536.1</v>
      </c>
      <c r="H742" s="1">
        <f t="shared" si="341"/>
        <v>34467.4</v>
      </c>
      <c r="I742" s="1">
        <f t="shared" si="341"/>
        <v>42249.1</v>
      </c>
      <c r="J742" s="1">
        <f t="shared" si="341"/>
        <v>51925.4</v>
      </c>
      <c r="K742" s="1">
        <f t="shared" si="341"/>
        <v>66037.599999999991</v>
      </c>
      <c r="L742" s="1">
        <f t="shared" si="341"/>
        <v>68745.7</v>
      </c>
      <c r="M742" s="1">
        <f t="shared" si="341"/>
        <v>71110.274999999994</v>
      </c>
      <c r="N742" s="1">
        <f t="shared" si="341"/>
        <v>74615.900000000009</v>
      </c>
      <c r="O742" s="1">
        <f t="shared" si="341"/>
        <v>78043.900000000009</v>
      </c>
    </row>
    <row r="743" spans="1:15" ht="15.75" x14ac:dyDescent="0.2">
      <c r="A743" s="108"/>
      <c r="B743" s="103"/>
      <c r="C743" s="51" t="s">
        <v>10</v>
      </c>
      <c r="D743" s="1">
        <f t="shared" si="307"/>
        <v>0</v>
      </c>
      <c r="E743" s="1">
        <v>0</v>
      </c>
      <c r="F743" s="1">
        <v>0</v>
      </c>
      <c r="G743" s="1">
        <v>0</v>
      </c>
      <c r="H743" s="1">
        <v>0</v>
      </c>
      <c r="I743" s="1">
        <v>0</v>
      </c>
      <c r="J743" s="1">
        <v>0</v>
      </c>
      <c r="K743" s="1">
        <v>0</v>
      </c>
      <c r="L743" s="1">
        <v>0</v>
      </c>
      <c r="M743" s="1">
        <v>0</v>
      </c>
      <c r="N743" s="1">
        <v>0</v>
      </c>
      <c r="O743" s="1">
        <v>0</v>
      </c>
    </row>
    <row r="744" spans="1:15" ht="15.75" x14ac:dyDescent="0.2">
      <c r="A744" s="108"/>
      <c r="B744" s="103"/>
      <c r="C744" s="51" t="s">
        <v>11</v>
      </c>
      <c r="D744" s="1">
        <f t="shared" si="307"/>
        <v>0</v>
      </c>
      <c r="E744" s="1">
        <v>0</v>
      </c>
      <c r="F744" s="1">
        <v>0</v>
      </c>
      <c r="G744" s="1">
        <v>0</v>
      </c>
      <c r="H744" s="1">
        <v>0</v>
      </c>
      <c r="I744" s="1">
        <v>0</v>
      </c>
      <c r="J744" s="1">
        <v>0</v>
      </c>
      <c r="K744" s="1">
        <v>0</v>
      </c>
      <c r="L744" s="1">
        <v>0</v>
      </c>
      <c r="M744" s="1">
        <v>0</v>
      </c>
      <c r="N744" s="1">
        <v>0</v>
      </c>
      <c r="O744" s="1">
        <v>0</v>
      </c>
    </row>
    <row r="745" spans="1:15" ht="15.75" x14ac:dyDescent="0.2">
      <c r="A745" s="108"/>
      <c r="B745" s="103"/>
      <c r="C745" s="51" t="s">
        <v>12</v>
      </c>
      <c r="D745" s="1">
        <f t="shared" si="307"/>
        <v>583820.07500000007</v>
      </c>
      <c r="E745" s="1">
        <v>31873.5</v>
      </c>
      <c r="F745" s="1">
        <v>32215.200000000001</v>
      </c>
      <c r="G745" s="1">
        <v>32536.1</v>
      </c>
      <c r="H745" s="1">
        <v>34467.4</v>
      </c>
      <c r="I745" s="1">
        <f>41599.1+650</f>
        <v>42249.1</v>
      </c>
      <c r="J745" s="1">
        <f>42649.1+750.8+7821.5+406.1+218.1+79.8</f>
        <v>51925.4</v>
      </c>
      <c r="K745" s="1">
        <f>57248.6+400.1+8388.9</f>
        <v>66037.599999999991</v>
      </c>
      <c r="L745" s="1">
        <f>67673.6+671.4-0.1+56.6+181.4+400-400-56.6-181.4-600+600+163+135.8+102</f>
        <v>68745.7</v>
      </c>
      <c r="M745" s="1">
        <f>70380+663.1+70.8+258.275+579.2-841.1</f>
        <v>71110.274999999994</v>
      </c>
      <c r="N745" s="1">
        <f>73150.6+1465.3</f>
        <v>74615.900000000009</v>
      </c>
      <c r="O745" s="1">
        <f>73150.6+4893.3</f>
        <v>78043.900000000009</v>
      </c>
    </row>
    <row r="746" spans="1:15" ht="21.75" customHeight="1" x14ac:dyDescent="0.2">
      <c r="A746" s="108"/>
      <c r="B746" s="103"/>
      <c r="C746" s="51" t="s">
        <v>13</v>
      </c>
      <c r="D746" s="1">
        <f t="shared" si="307"/>
        <v>0</v>
      </c>
      <c r="E746" s="1">
        <v>0</v>
      </c>
      <c r="F746" s="1">
        <v>0</v>
      </c>
      <c r="G746" s="1">
        <v>0</v>
      </c>
      <c r="H746" s="1">
        <v>0</v>
      </c>
      <c r="I746" s="1">
        <v>0</v>
      </c>
      <c r="J746" s="1">
        <v>0</v>
      </c>
      <c r="K746" s="1">
        <v>0</v>
      </c>
      <c r="L746" s="1">
        <v>0</v>
      </c>
      <c r="M746" s="1">
        <v>0</v>
      </c>
      <c r="N746" s="1">
        <v>0</v>
      </c>
      <c r="O746" s="1">
        <v>0</v>
      </c>
    </row>
    <row r="747" spans="1:15" ht="21.75" customHeight="1" x14ac:dyDescent="0.2">
      <c r="A747" s="88"/>
      <c r="B747" s="89"/>
      <c r="C747" s="90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77"/>
      <c r="O747" s="77"/>
    </row>
    <row r="748" spans="1:15" ht="15.75" x14ac:dyDescent="0.2">
      <c r="A748" s="91"/>
      <c r="B748" s="91"/>
      <c r="C748" s="91"/>
      <c r="D748" s="92"/>
      <c r="E748" s="91"/>
      <c r="F748" s="91"/>
      <c r="G748" s="91"/>
      <c r="H748" s="93"/>
      <c r="I748" s="91"/>
      <c r="J748" s="91"/>
      <c r="K748" s="94"/>
    </row>
  </sheetData>
  <autoFilter ref="A7:Y746"/>
  <mergeCells count="274">
    <mergeCell ref="A391:A395"/>
    <mergeCell ref="B391:B395"/>
    <mergeCell ref="A386:A390"/>
    <mergeCell ref="B386:B390"/>
    <mergeCell ref="A50:A55"/>
    <mergeCell ref="B50:B55"/>
    <mergeCell ref="A717:A721"/>
    <mergeCell ref="B717:B721"/>
    <mergeCell ref="B484:B488"/>
    <mergeCell ref="A459:A463"/>
    <mergeCell ref="B556:B561"/>
    <mergeCell ref="A562:A566"/>
    <mergeCell ref="B562:B566"/>
    <mergeCell ref="A538:A542"/>
    <mergeCell ref="B538:B542"/>
    <mergeCell ref="B567:B571"/>
    <mergeCell ref="B518:B522"/>
    <mergeCell ref="A616:A620"/>
    <mergeCell ref="B611:B615"/>
    <mergeCell ref="B693:B699"/>
    <mergeCell ref="A668:A672"/>
    <mergeCell ref="B668:B672"/>
    <mergeCell ref="B653:B657"/>
    <mergeCell ref="A653:A657"/>
    <mergeCell ref="B61:B67"/>
    <mergeCell ref="B144:B151"/>
    <mergeCell ref="B128:B136"/>
    <mergeCell ref="B120:B127"/>
    <mergeCell ref="A381:A385"/>
    <mergeCell ref="B381:B385"/>
    <mergeCell ref="B199:B205"/>
    <mergeCell ref="B178:B183"/>
    <mergeCell ref="A663:A667"/>
    <mergeCell ref="B663:B667"/>
    <mergeCell ref="B577:B584"/>
    <mergeCell ref="A550:A555"/>
    <mergeCell ref="A577:A584"/>
    <mergeCell ref="A621:A625"/>
    <mergeCell ref="A572:A576"/>
    <mergeCell ref="A601:A605"/>
    <mergeCell ref="A567:A571"/>
    <mergeCell ref="B606:B610"/>
    <mergeCell ref="A611:A615"/>
    <mergeCell ref="A606:A610"/>
    <mergeCell ref="A585:A590"/>
    <mergeCell ref="A596:A600"/>
    <mergeCell ref="A641:A646"/>
    <mergeCell ref="B641:B646"/>
    <mergeCell ref="A636:A640"/>
    <mergeCell ref="B636:B640"/>
    <mergeCell ref="A416:A420"/>
    <mergeCell ref="B416:B420"/>
    <mergeCell ref="A411:A415"/>
    <mergeCell ref="B506:B510"/>
    <mergeCell ref="B441:B446"/>
    <mergeCell ref="A426:A430"/>
    <mergeCell ref="A511:A517"/>
    <mergeCell ref="B523:B527"/>
    <mergeCell ref="B421:B425"/>
    <mergeCell ref="A421:A425"/>
    <mergeCell ref="A431:A435"/>
    <mergeCell ref="B431:B435"/>
    <mergeCell ref="A494:A498"/>
    <mergeCell ref="B494:B498"/>
    <mergeCell ref="A469:A473"/>
    <mergeCell ref="B469:B473"/>
    <mergeCell ref="B454:B458"/>
    <mergeCell ref="B464:B468"/>
    <mergeCell ref="A436:A440"/>
    <mergeCell ref="B436:B440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38:A43"/>
    <mergeCell ref="B38:B43"/>
    <mergeCell ref="B44:B49"/>
    <mergeCell ref="A44:A49"/>
    <mergeCell ref="A206:A210"/>
    <mergeCell ref="A18:A27"/>
    <mergeCell ref="A441:A446"/>
    <mergeCell ref="B18:B27"/>
    <mergeCell ref="B56:B60"/>
    <mergeCell ref="B74:B80"/>
    <mergeCell ref="A351:A355"/>
    <mergeCell ref="A401:A405"/>
    <mergeCell ref="A396:A40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742:A746"/>
    <mergeCell ref="B737:B741"/>
    <mergeCell ref="A737:A741"/>
    <mergeCell ref="B742:B746"/>
    <mergeCell ref="B631:B635"/>
    <mergeCell ref="A631:A635"/>
    <mergeCell ref="A707:A711"/>
    <mergeCell ref="B707:B711"/>
    <mergeCell ref="A732:A736"/>
    <mergeCell ref="B732:B736"/>
    <mergeCell ref="B700:B706"/>
    <mergeCell ref="A700:A706"/>
    <mergeCell ref="A712:A716"/>
    <mergeCell ref="B712:B716"/>
    <mergeCell ref="A647:A652"/>
    <mergeCell ref="B647:B652"/>
    <mergeCell ref="A693:A699"/>
    <mergeCell ref="A727:A731"/>
    <mergeCell ref="B727:B731"/>
    <mergeCell ref="A722:A726"/>
    <mergeCell ref="B722:B726"/>
    <mergeCell ref="A683:A687"/>
    <mergeCell ref="B683:B687"/>
    <mergeCell ref="A673:A677"/>
    <mergeCell ref="B291:B295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A61:A67"/>
    <mergeCell ref="A361:A365"/>
    <mergeCell ref="B361:B365"/>
    <mergeCell ref="B401:B405"/>
    <mergeCell ref="B396:B400"/>
    <mergeCell ref="A406:A410"/>
    <mergeCell ref="B406:B410"/>
    <mergeCell ref="B673:B677"/>
    <mergeCell ref="A678:A682"/>
    <mergeCell ref="B678:B682"/>
    <mergeCell ref="B459:B463"/>
    <mergeCell ref="A506:A510"/>
    <mergeCell ref="B447:B453"/>
    <mergeCell ref="B479:B483"/>
    <mergeCell ref="B585:B590"/>
    <mergeCell ref="B601:B605"/>
    <mergeCell ref="B596:B600"/>
    <mergeCell ref="A533:A537"/>
    <mergeCell ref="A528:A532"/>
    <mergeCell ref="A499:A505"/>
    <mergeCell ref="A543:A549"/>
    <mergeCell ref="B533:B537"/>
    <mergeCell ref="B543:B549"/>
    <mergeCell ref="B528:B532"/>
    <mergeCell ref="B499:B505"/>
    <mergeCell ref="A688:A692"/>
    <mergeCell ref="B688:B692"/>
    <mergeCell ref="B366:B370"/>
    <mergeCell ref="A366:A370"/>
    <mergeCell ref="B371:B375"/>
    <mergeCell ref="B376:B380"/>
    <mergeCell ref="A371:A375"/>
    <mergeCell ref="A376:A380"/>
    <mergeCell ref="A454:A458"/>
    <mergeCell ref="A474:A478"/>
    <mergeCell ref="B474:B478"/>
    <mergeCell ref="A523:A527"/>
    <mergeCell ref="B511:B517"/>
    <mergeCell ref="A464:A468"/>
    <mergeCell ref="A447:A453"/>
    <mergeCell ref="A484:A488"/>
    <mergeCell ref="B550:B555"/>
    <mergeCell ref="B626:B630"/>
    <mergeCell ref="B621:B625"/>
    <mergeCell ref="A626:A630"/>
    <mergeCell ref="A556:A561"/>
    <mergeCell ref="B411:B415"/>
    <mergeCell ref="A489:A493"/>
    <mergeCell ref="B489:B493"/>
    <mergeCell ref="A356:A360"/>
    <mergeCell ref="B356:B360"/>
    <mergeCell ref="B426:B430"/>
    <mergeCell ref="A658:A662"/>
    <mergeCell ref="B658:B662"/>
    <mergeCell ref="A591:A595"/>
    <mergeCell ref="B276:B280"/>
    <mergeCell ref="A276:A28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296:A300"/>
    <mergeCell ref="B616:B620"/>
    <mergeCell ref="B591:B595"/>
    <mergeCell ref="B572:B576"/>
    <mergeCell ref="A518:A522"/>
    <mergeCell ref="A479:A48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2022-05-19T07:26:01Z</cp:lastPrinted>
  <dcterms:created xsi:type="dcterms:W3CDTF">1996-10-08T23:32:33Z</dcterms:created>
  <dcterms:modified xsi:type="dcterms:W3CDTF">2023-06-13T01:52:39Z</dcterms:modified>
</cp:coreProperties>
</file>