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8370" yWindow="90" windowWidth="16860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РИМ_'!$A$7:$Y$816</definedName>
    <definedName name="_xlnm._FilterDatabase" localSheetId="0" hidden="1">'Таблица № 3'!$A$6:$S$120</definedName>
    <definedName name="_xlnm.Print_Area" localSheetId="1">'Приложение № 3 к МП РИМ_'!$A$1:$W$820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4" i="6" l="1"/>
  <c r="M429" i="6"/>
  <c r="M203" i="6" l="1"/>
  <c r="M774" i="6"/>
  <c r="M772" i="6"/>
  <c r="M454" i="6"/>
  <c r="M354" i="6" l="1"/>
  <c r="M349" i="6"/>
  <c r="M314" i="6"/>
  <c r="M209" i="6"/>
  <c r="M716" i="6" l="1"/>
  <c r="M633" i="6" l="1"/>
  <c r="M815" i="6"/>
  <c r="M756" i="6"/>
  <c r="M775" i="6"/>
  <c r="M604" i="6"/>
  <c r="M364" i="6"/>
  <c r="M726" i="6" l="1"/>
  <c r="M689" i="6"/>
  <c r="M409" i="6"/>
  <c r="M736" i="6" l="1"/>
  <c r="M309" i="6"/>
  <c r="M348" i="6" l="1"/>
  <c r="D21" i="6" l="1"/>
  <c r="M795" i="6" l="1"/>
  <c r="M679" i="6"/>
  <c r="M664" i="6"/>
  <c r="M610" i="6" l="1"/>
  <c r="M444" i="6"/>
  <c r="M383" i="6" l="1"/>
  <c r="N716" i="6" l="1"/>
  <c r="N795" i="6" l="1"/>
  <c r="M767" i="6" l="1"/>
  <c r="M768" i="6"/>
  <c r="M766" i="6"/>
  <c r="M33" i="6"/>
  <c r="M23" i="6"/>
  <c r="O787" i="6" l="1"/>
  <c r="O790" i="6"/>
  <c r="O797" i="6"/>
  <c r="P797" i="6"/>
  <c r="Q797" i="6"/>
  <c r="R797" i="6"/>
  <c r="S797" i="6"/>
  <c r="T797" i="6"/>
  <c r="U797" i="6"/>
  <c r="V797" i="6"/>
  <c r="W797" i="6"/>
  <c r="O792" i="6"/>
  <c r="P792" i="6"/>
  <c r="Q792" i="6"/>
  <c r="R792" i="6"/>
  <c r="S792" i="6"/>
  <c r="T792" i="6"/>
  <c r="U792" i="6"/>
  <c r="V792" i="6"/>
  <c r="W792" i="6"/>
  <c r="D808" i="6" l="1"/>
  <c r="D809" i="6"/>
  <c r="D811" i="6"/>
  <c r="D813" i="6"/>
  <c r="D814" i="6"/>
  <c r="D815" i="6"/>
  <c r="D816" i="6"/>
  <c r="D804" i="6"/>
  <c r="D806" i="6"/>
  <c r="D803" i="6"/>
  <c r="D563" i="6"/>
  <c r="D19" i="6"/>
  <c r="D627" i="6"/>
  <c r="D629" i="6"/>
  <c r="D623" i="6"/>
  <c r="D602" i="6"/>
  <c r="D603" i="6"/>
  <c r="D604" i="6"/>
  <c r="D605" i="6"/>
  <c r="D606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596" i="6"/>
  <c r="D597" i="6"/>
  <c r="D599" i="6"/>
  <c r="D600" i="6"/>
  <c r="D591" i="6"/>
  <c r="D593" i="6"/>
  <c r="D594" i="6"/>
  <c r="D590" i="6"/>
  <c r="D589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6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4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24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486" i="6"/>
  <c r="D442" i="6"/>
  <c r="D443" i="6"/>
  <c r="D444" i="6"/>
  <c r="D445" i="6"/>
  <c r="D446" i="6"/>
  <c r="D447" i="6"/>
  <c r="D448" i="6"/>
  <c r="D449" i="6"/>
  <c r="D450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37" i="6"/>
  <c r="D438" i="6"/>
  <c r="D440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200" i="6"/>
  <c r="D201" i="6"/>
  <c r="D202" i="6"/>
  <c r="D203" i="6"/>
  <c r="D204" i="6"/>
  <c r="D205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7" i="6"/>
  <c r="D308" i="6"/>
  <c r="D309" i="6"/>
  <c r="D310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7" i="6"/>
  <c r="D348" i="6"/>
  <c r="D349" i="6"/>
  <c r="D350" i="6"/>
  <c r="D352" i="6"/>
  <c r="D353" i="6"/>
  <c r="D354" i="6"/>
  <c r="D355" i="6"/>
  <c r="D356" i="6"/>
  <c r="D357" i="6"/>
  <c r="D358" i="6"/>
  <c r="D359" i="6"/>
  <c r="D360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2" i="6"/>
  <c r="D423" i="6"/>
  <c r="D425" i="6"/>
  <c r="D427" i="6"/>
  <c r="D428" i="6"/>
  <c r="D429" i="6"/>
  <c r="D430" i="6"/>
  <c r="D431" i="6"/>
  <c r="D432" i="6"/>
  <c r="D433" i="6"/>
  <c r="D434" i="6"/>
  <c r="D435" i="6"/>
  <c r="D43" i="6"/>
  <c r="D38" i="6"/>
  <c r="D39" i="6"/>
  <c r="D40" i="6"/>
  <c r="D41" i="6"/>
  <c r="D42" i="6"/>
  <c r="D30" i="6"/>
  <c r="D32" i="6"/>
  <c r="D33" i="6"/>
  <c r="D35" i="6"/>
  <c r="D36" i="6"/>
  <c r="D29" i="6"/>
  <c r="D20" i="6"/>
  <c r="D22" i="6"/>
  <c r="D23" i="6"/>
  <c r="D25" i="6"/>
  <c r="D26" i="6"/>
  <c r="D27" i="6"/>
  <c r="D12" i="6"/>
  <c r="D15" i="6"/>
  <c r="D17" i="6"/>
  <c r="D9" i="6"/>
  <c r="O203" i="6" l="1"/>
  <c r="O201" i="6"/>
  <c r="N203" i="6"/>
  <c r="N761" i="6"/>
  <c r="N750" i="6" l="1"/>
  <c r="N418" i="6" l="1"/>
  <c r="W439" i="6" l="1"/>
  <c r="W438" i="6"/>
  <c r="M481" i="6"/>
  <c r="K484" i="6"/>
  <c r="W481" i="6"/>
  <c r="O481" i="6"/>
  <c r="N481" i="6"/>
  <c r="L481" i="6"/>
  <c r="J481" i="6"/>
  <c r="I481" i="6"/>
  <c r="H481" i="6"/>
  <c r="G481" i="6"/>
  <c r="F481" i="6"/>
  <c r="E481" i="6"/>
  <c r="O815" i="6"/>
  <c r="N815" i="6"/>
  <c r="O795" i="6"/>
  <c r="O716" i="6"/>
  <c r="N679" i="6"/>
  <c r="O664" i="6"/>
  <c r="N664" i="6"/>
  <c r="O654" i="6"/>
  <c r="N654" i="6"/>
  <c r="O610" i="6"/>
  <c r="N610" i="6"/>
  <c r="O581" i="6"/>
  <c r="N581" i="6"/>
  <c r="N474" i="6"/>
  <c r="N454" i="6"/>
  <c r="N444" i="6"/>
  <c r="O388" i="6"/>
  <c r="N388" i="6"/>
  <c r="O383" i="6"/>
  <c r="O384" i="6"/>
  <c r="N383" i="6"/>
  <c r="N384" i="6"/>
  <c r="O349" i="6"/>
  <c r="O348" i="6"/>
  <c r="N348" i="6"/>
  <c r="N349" i="6"/>
  <c r="W571" i="6"/>
  <c r="W812" i="6"/>
  <c r="W810" i="6"/>
  <c r="W807" i="6" s="1"/>
  <c r="W806" i="6"/>
  <c r="W804" i="6"/>
  <c r="W803" i="6"/>
  <c r="W798" i="6"/>
  <c r="W793" i="6"/>
  <c r="W790" i="6"/>
  <c r="W788" i="6"/>
  <c r="W787" i="6" s="1"/>
  <c r="W783" i="6"/>
  <c r="W782" i="6" s="1"/>
  <c r="W778" i="6"/>
  <c r="W777" i="6" s="1"/>
  <c r="W771" i="6"/>
  <c r="W770" i="6"/>
  <c r="W767" i="6"/>
  <c r="W765" i="6"/>
  <c r="W764" i="6"/>
  <c r="W763" i="6"/>
  <c r="W758" i="6"/>
  <c r="W753" i="6"/>
  <c r="W748" i="6"/>
  <c r="W743" i="6"/>
  <c r="W738" i="6"/>
  <c r="W733" i="6"/>
  <c r="W728" i="6"/>
  <c r="W723" i="6"/>
  <c r="W718" i="6"/>
  <c r="W713" i="6"/>
  <c r="W708" i="6"/>
  <c r="W703" i="6"/>
  <c r="W698" i="6"/>
  <c r="W695" i="6"/>
  <c r="W692" i="6" s="1"/>
  <c r="W686" i="6"/>
  <c r="W681" i="6"/>
  <c r="W676" i="6"/>
  <c r="W671" i="6"/>
  <c r="W666" i="6"/>
  <c r="W661" i="6"/>
  <c r="W656" i="6"/>
  <c r="W651" i="6"/>
  <c r="W646" i="6"/>
  <c r="W641" i="6"/>
  <c r="W634" i="6"/>
  <c r="W633" i="6"/>
  <c r="W632" i="6"/>
  <c r="W631" i="6"/>
  <c r="W630" i="6" s="1"/>
  <c r="W629" i="6"/>
  <c r="W628" i="6"/>
  <c r="W627" i="6"/>
  <c r="W625" i="6"/>
  <c r="W624" i="6"/>
  <c r="W623" i="6"/>
  <c r="W617" i="6"/>
  <c r="W616" i="6"/>
  <c r="W615" i="6"/>
  <c r="W614" i="6"/>
  <c r="W613" i="6"/>
  <c r="W607" i="6"/>
  <c r="W601" i="6"/>
  <c r="W600" i="6"/>
  <c r="W599" i="6"/>
  <c r="W597" i="6"/>
  <c r="W596" i="6"/>
  <c r="W594" i="6"/>
  <c r="W593" i="6"/>
  <c r="W591" i="6"/>
  <c r="W589" i="6"/>
  <c r="W583" i="6"/>
  <c r="W578" i="6"/>
  <c r="W573" i="6"/>
  <c r="W572" i="6"/>
  <c r="W567" i="6" s="1"/>
  <c r="W17" i="6" s="1"/>
  <c r="W570" i="6"/>
  <c r="W569" i="6"/>
  <c r="W566" i="6"/>
  <c r="W565" i="6"/>
  <c r="W564" i="6"/>
  <c r="W563" i="6" s="1"/>
  <c r="W556" i="6"/>
  <c r="W551" i="6"/>
  <c r="W550" i="6"/>
  <c r="W548" i="6"/>
  <c r="W546" i="6"/>
  <c r="W545" i="6"/>
  <c r="W544" i="6" s="1"/>
  <c r="W539" i="6"/>
  <c r="W534" i="6"/>
  <c r="W529" i="6"/>
  <c r="W528" i="6"/>
  <c r="W527" i="6"/>
  <c r="W526" i="6"/>
  <c r="W525" i="6"/>
  <c r="W524" i="6" s="1"/>
  <c r="W519" i="6"/>
  <c r="W514" i="6"/>
  <c r="W512" i="6"/>
  <c r="W509" i="6" s="1"/>
  <c r="W504" i="6"/>
  <c r="W499" i="6"/>
  <c r="W495" i="6"/>
  <c r="W492" i="6" s="1"/>
  <c r="W490" i="6"/>
  <c r="W488" i="6"/>
  <c r="W487" i="6"/>
  <c r="W476" i="6"/>
  <c r="W471" i="6"/>
  <c r="W466" i="6"/>
  <c r="W461" i="6"/>
  <c r="W456" i="6"/>
  <c r="W451" i="6"/>
  <c r="W446" i="6"/>
  <c r="W441" i="6"/>
  <c r="W440" i="6"/>
  <c r="W437" i="6"/>
  <c r="W416" i="6"/>
  <c r="W411" i="6"/>
  <c r="W406" i="6"/>
  <c r="W401" i="6"/>
  <c r="W396" i="6"/>
  <c r="W391" i="6"/>
  <c r="W386" i="6"/>
  <c r="W381" i="6"/>
  <c r="W376" i="6"/>
  <c r="W371" i="6"/>
  <c r="W370" i="6"/>
  <c r="W369" i="6"/>
  <c r="W368" i="6"/>
  <c r="W367" i="6"/>
  <c r="W366" i="6" s="1"/>
  <c r="W361" i="6"/>
  <c r="W356" i="6"/>
  <c r="W351" i="6"/>
  <c r="W346" i="6"/>
  <c r="W341" i="6"/>
  <c r="W336" i="6"/>
  <c r="W334" i="6"/>
  <c r="W333" i="6"/>
  <c r="W331" i="6" s="1"/>
  <c r="W311" i="6"/>
  <c r="W306" i="6"/>
  <c r="W301" i="6"/>
  <c r="W296" i="6"/>
  <c r="W291" i="6"/>
  <c r="W286" i="6"/>
  <c r="W281" i="6"/>
  <c r="W276" i="6"/>
  <c r="W271" i="6"/>
  <c r="W266" i="6"/>
  <c r="W261" i="6"/>
  <c r="W256" i="6"/>
  <c r="W251" i="6"/>
  <c r="W246" i="6"/>
  <c r="W241" i="6"/>
  <c r="W236" i="6"/>
  <c r="W231" i="6"/>
  <c r="W226" i="6"/>
  <c r="W221" i="6"/>
  <c r="W216" i="6"/>
  <c r="W211" i="6"/>
  <c r="W206" i="6"/>
  <c r="W199" i="6"/>
  <c r="W194" i="6"/>
  <c r="W189" i="6"/>
  <c r="W187" i="6"/>
  <c r="W184" i="6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/>
  <c r="W114" i="6"/>
  <c r="W113" i="6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31" i="6"/>
  <c r="W21" i="6" s="1"/>
  <c r="W11" i="6" s="1"/>
  <c r="W30" i="6"/>
  <c r="W29" i="6"/>
  <c r="W26" i="6"/>
  <c r="W25" i="6"/>
  <c r="W23" i="6"/>
  <c r="W22" i="6"/>
  <c r="W12" i="6" s="1"/>
  <c r="W20" i="6"/>
  <c r="W10" i="6" s="1"/>
  <c r="W16" i="6"/>
  <c r="W13" i="6"/>
  <c r="W436" i="6" l="1"/>
  <c r="W590" i="6"/>
  <c r="W612" i="6"/>
  <c r="W489" i="6"/>
  <c r="W568" i="6"/>
  <c r="K481" i="6"/>
  <c r="W805" i="6"/>
  <c r="W802" i="6" s="1"/>
  <c r="W626" i="6"/>
  <c r="W622" i="6" s="1"/>
  <c r="W28" i="6"/>
  <c r="W19" i="6"/>
  <c r="W598" i="6"/>
  <c r="M431" i="6"/>
  <c r="M426" i="6"/>
  <c r="D426" i="6" s="1"/>
  <c r="M425" i="6"/>
  <c r="M424" i="6"/>
  <c r="D424" i="6" s="1"/>
  <c r="M423" i="6"/>
  <c r="M422" i="6"/>
  <c r="M29" i="6" l="1"/>
  <c r="M421" i="6"/>
  <c r="D421" i="6" s="1"/>
  <c r="W595" i="6"/>
  <c r="W592" i="6"/>
  <c r="W588" i="6" s="1"/>
  <c r="W9" i="6"/>
  <c r="W486" i="6"/>
  <c r="W24" i="6"/>
  <c r="W14" i="6" l="1"/>
  <c r="W8" i="6" s="1"/>
  <c r="W18" i="6"/>
  <c r="M388" i="6"/>
  <c r="M740" i="6"/>
  <c r="M741" i="6"/>
  <c r="D762" i="6" l="1"/>
  <c r="D761" i="6"/>
  <c r="D760" i="6"/>
  <c r="D759" i="6"/>
  <c r="O758" i="6"/>
  <c r="N758" i="6"/>
  <c r="M758" i="6"/>
  <c r="L758" i="6"/>
  <c r="K758" i="6"/>
  <c r="J758" i="6"/>
  <c r="I758" i="6"/>
  <c r="H758" i="6"/>
  <c r="G758" i="6"/>
  <c r="F758" i="6"/>
  <c r="E758" i="6"/>
  <c r="D758" i="6" l="1"/>
  <c r="N201" i="6" l="1"/>
  <c r="O753" i="6" l="1"/>
  <c r="F753" i="6"/>
  <c r="G753" i="6"/>
  <c r="H753" i="6"/>
  <c r="I753" i="6"/>
  <c r="J753" i="6"/>
  <c r="K753" i="6"/>
  <c r="L753" i="6"/>
  <c r="M753" i="6"/>
  <c r="N753" i="6"/>
  <c r="E753" i="6"/>
  <c r="D754" i="6"/>
  <c r="D755" i="6"/>
  <c r="D756" i="6"/>
  <c r="D757" i="6"/>
  <c r="D753" i="6" l="1"/>
  <c r="N413" i="6" l="1"/>
  <c r="N745" i="6"/>
  <c r="N632" i="6" s="1"/>
  <c r="N624" i="6" s="1"/>
  <c r="D752" i="6"/>
  <c r="D751" i="6"/>
  <c r="D750" i="6"/>
  <c r="D749" i="6"/>
  <c r="O748" i="6"/>
  <c r="N748" i="6"/>
  <c r="M748" i="6"/>
  <c r="L748" i="6"/>
  <c r="K748" i="6"/>
  <c r="J748" i="6"/>
  <c r="I748" i="6"/>
  <c r="H748" i="6"/>
  <c r="G748" i="6"/>
  <c r="F748" i="6"/>
  <c r="E748" i="6"/>
  <c r="D747" i="6"/>
  <c r="N746" i="6"/>
  <c r="M746" i="6"/>
  <c r="M745" i="6"/>
  <c r="D744" i="6"/>
  <c r="O743" i="6"/>
  <c r="N743" i="6"/>
  <c r="L743" i="6"/>
  <c r="K743" i="6"/>
  <c r="J743" i="6"/>
  <c r="I743" i="6"/>
  <c r="H743" i="6"/>
  <c r="G743" i="6"/>
  <c r="F743" i="6"/>
  <c r="E743" i="6"/>
  <c r="N411" i="6"/>
  <c r="M413" i="6"/>
  <c r="N414" i="6"/>
  <c r="M414" i="6"/>
  <c r="O416" i="6"/>
  <c r="N416" i="6"/>
  <c r="M416" i="6"/>
  <c r="L416" i="6"/>
  <c r="K416" i="6"/>
  <c r="J416" i="6"/>
  <c r="I416" i="6"/>
  <c r="H416" i="6"/>
  <c r="G416" i="6"/>
  <c r="F416" i="6"/>
  <c r="E416" i="6"/>
  <c r="O411" i="6"/>
  <c r="L411" i="6"/>
  <c r="K411" i="6"/>
  <c r="J411" i="6"/>
  <c r="I411" i="6"/>
  <c r="H411" i="6"/>
  <c r="G411" i="6"/>
  <c r="F411" i="6"/>
  <c r="E411" i="6"/>
  <c r="D745" i="6" l="1"/>
  <c r="M411" i="6"/>
  <c r="D748" i="6"/>
  <c r="D746" i="6"/>
  <c r="M743" i="6"/>
  <c r="D743" i="6" s="1"/>
  <c r="O406" i="6" l="1"/>
  <c r="N406" i="6"/>
  <c r="M406" i="6"/>
  <c r="D406" i="6" s="1"/>
  <c r="L406" i="6"/>
  <c r="K406" i="6"/>
  <c r="J406" i="6"/>
  <c r="I406" i="6"/>
  <c r="H406" i="6"/>
  <c r="G406" i="6"/>
  <c r="F406" i="6"/>
  <c r="E406" i="6"/>
  <c r="M399" i="6" l="1"/>
  <c r="O401" i="6" l="1"/>
  <c r="N401" i="6"/>
  <c r="M401" i="6"/>
  <c r="L401" i="6"/>
  <c r="K401" i="6"/>
  <c r="J401" i="6"/>
  <c r="I401" i="6"/>
  <c r="H401" i="6"/>
  <c r="G401" i="6"/>
  <c r="F401" i="6"/>
  <c r="E401" i="6"/>
  <c r="N399" i="6" l="1"/>
  <c r="O396" i="6"/>
  <c r="L396" i="6"/>
  <c r="K396" i="6"/>
  <c r="J396" i="6"/>
  <c r="I396" i="6"/>
  <c r="H396" i="6"/>
  <c r="G396" i="6"/>
  <c r="F396" i="6"/>
  <c r="E396" i="6"/>
  <c r="N396" i="6" l="1"/>
  <c r="M396" i="6"/>
  <c r="M581" i="6" l="1"/>
  <c r="M632" i="6" l="1"/>
  <c r="M634" i="6" l="1"/>
  <c r="M627" i="6" s="1"/>
  <c r="N634" i="6"/>
  <c r="O634" i="6"/>
  <c r="E634" i="6"/>
  <c r="F634" i="6"/>
  <c r="G634" i="6"/>
  <c r="H634" i="6"/>
  <c r="I634" i="6"/>
  <c r="J634" i="6"/>
  <c r="K634" i="6"/>
  <c r="L634" i="6"/>
  <c r="E627" i="6"/>
  <c r="F627" i="6"/>
  <c r="G627" i="6"/>
  <c r="H627" i="6"/>
  <c r="I627" i="6"/>
  <c r="J627" i="6"/>
  <c r="K627" i="6"/>
  <c r="L627" i="6"/>
  <c r="N627" i="6"/>
  <c r="O627" i="6"/>
  <c r="D634" i="6" l="1"/>
  <c r="D742" i="6"/>
  <c r="L741" i="6"/>
  <c r="D741" i="6" s="1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M201" i="6" l="1"/>
  <c r="M394" i="6" l="1"/>
  <c r="N33" i="6" l="1"/>
  <c r="N26" i="6" s="1"/>
  <c r="O33" i="6"/>
  <c r="O26" i="6" s="1"/>
  <c r="M26" i="6"/>
  <c r="F36" i="6"/>
  <c r="G36" i="6"/>
  <c r="H36" i="6"/>
  <c r="I36" i="6"/>
  <c r="J36" i="6"/>
  <c r="K36" i="6"/>
  <c r="L36" i="6"/>
  <c r="M36" i="6"/>
  <c r="N36" i="6"/>
  <c r="O36" i="6"/>
  <c r="E36" i="6"/>
  <c r="M654" i="6" l="1"/>
  <c r="E628" i="6" l="1"/>
  <c r="F628" i="6"/>
  <c r="G628" i="6"/>
  <c r="H628" i="6"/>
  <c r="I628" i="6"/>
  <c r="J628" i="6"/>
  <c r="K628" i="6"/>
  <c r="L628" i="6"/>
  <c r="N628" i="6"/>
  <c r="O628" i="6"/>
  <c r="M628" i="6"/>
  <c r="E625" i="6"/>
  <c r="F625" i="6"/>
  <c r="G625" i="6"/>
  <c r="H625" i="6"/>
  <c r="I625" i="6"/>
  <c r="J625" i="6"/>
  <c r="K625" i="6"/>
  <c r="L625" i="6"/>
  <c r="N625" i="6"/>
  <c r="O625" i="6"/>
  <c r="M625" i="6"/>
  <c r="D768" i="6"/>
  <c r="D766" i="6"/>
  <c r="D775" i="6"/>
  <c r="D773" i="6"/>
  <c r="M16" i="6" l="1"/>
  <c r="D16" i="6" s="1"/>
  <c r="D628" i="6"/>
  <c r="M13" i="6"/>
  <c r="D13" i="6" s="1"/>
  <c r="D625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M502" i="6" l="1"/>
  <c r="M479" i="6" l="1"/>
  <c r="N394" i="6" l="1"/>
  <c r="O391" i="6"/>
  <c r="L391" i="6"/>
  <c r="K391" i="6"/>
  <c r="J391" i="6"/>
  <c r="I391" i="6"/>
  <c r="H391" i="6"/>
  <c r="G391" i="6"/>
  <c r="F391" i="6"/>
  <c r="E391" i="6"/>
  <c r="N391" i="6" l="1"/>
  <c r="M391" i="6"/>
  <c r="M800" i="6" l="1"/>
  <c r="M476" i="6" l="1"/>
  <c r="K479" i="6"/>
  <c r="O476" i="6"/>
  <c r="N476" i="6"/>
  <c r="L476" i="6"/>
  <c r="J476" i="6"/>
  <c r="I476" i="6"/>
  <c r="H476" i="6"/>
  <c r="G476" i="6"/>
  <c r="F476" i="6"/>
  <c r="E476" i="6"/>
  <c r="K476" i="6" l="1"/>
  <c r="O444" i="6" l="1"/>
  <c r="L364" i="6" l="1"/>
  <c r="L716" i="6" l="1"/>
  <c r="L679" i="6"/>
  <c r="L664" i="6"/>
  <c r="L610" i="6"/>
  <c r="L444" i="6" l="1"/>
  <c r="L388" i="6"/>
  <c r="L203" i="6"/>
  <c r="L815" i="6" l="1"/>
  <c r="L795" i="6"/>
  <c r="L201" i="6" l="1"/>
  <c r="L604" i="6" l="1"/>
  <c r="L65" i="6"/>
  <c r="L554" i="6"/>
  <c r="L314" i="6"/>
  <c r="L522" i="6" l="1"/>
  <c r="L695" i="6"/>
  <c r="L689" i="6" l="1"/>
  <c r="N389" i="6" l="1"/>
  <c r="M389" i="6"/>
  <c r="M386" i="6" s="1"/>
  <c r="N386" i="6"/>
  <c r="O386" i="6"/>
  <c r="L386" i="6"/>
  <c r="K386" i="6"/>
  <c r="J386" i="6"/>
  <c r="I386" i="6"/>
  <c r="H386" i="6"/>
  <c r="G386" i="6"/>
  <c r="F386" i="6"/>
  <c r="E386" i="6"/>
  <c r="L774" i="6" l="1"/>
  <c r="L736" i="6" l="1"/>
  <c r="O679" i="6" l="1"/>
  <c r="L726" i="6" l="1"/>
  <c r="L654" i="6"/>
  <c r="L454" i="6" l="1"/>
  <c r="N604" i="6" l="1"/>
  <c r="O726" i="6"/>
  <c r="N726" i="6"/>
  <c r="O695" i="6"/>
  <c r="O689" i="6"/>
  <c r="N689" i="6"/>
  <c r="N633" i="6" l="1"/>
  <c r="O502" i="6"/>
  <c r="N502" i="6"/>
  <c r="O495" i="6"/>
  <c r="N495" i="6"/>
  <c r="M495" i="6"/>
  <c r="M474" i="6"/>
  <c r="O454" i="6"/>
  <c r="O439" i="6" s="1"/>
  <c r="O381" i="6"/>
  <c r="O346" i="6"/>
  <c r="N439" i="6" l="1"/>
  <c r="M439" i="6"/>
  <c r="D439" i="6" s="1"/>
  <c r="D436" i="6" s="1"/>
  <c r="L721" i="6"/>
  <c r="L243" i="6" l="1"/>
  <c r="O356" i="6" l="1"/>
  <c r="N356" i="6"/>
  <c r="M356" i="6"/>
  <c r="L356" i="6"/>
  <c r="K356" i="6"/>
  <c r="J356" i="6"/>
  <c r="I356" i="6"/>
  <c r="H356" i="6"/>
  <c r="G356" i="6"/>
  <c r="F356" i="6"/>
  <c r="E356" i="6"/>
  <c r="M346" i="6" l="1"/>
  <c r="D346" i="6" s="1"/>
  <c r="L349" i="6"/>
  <c r="N346" i="6"/>
  <c r="L348" i="6"/>
  <c r="K346" i="6"/>
  <c r="J346" i="6"/>
  <c r="I346" i="6"/>
  <c r="H346" i="6"/>
  <c r="G346" i="6"/>
  <c r="F346" i="6"/>
  <c r="E346" i="6"/>
  <c r="N381" i="6"/>
  <c r="M381" i="6"/>
  <c r="D381" i="6" s="1"/>
  <c r="L381" i="6"/>
  <c r="K381" i="6"/>
  <c r="J381" i="6"/>
  <c r="I381" i="6"/>
  <c r="H381" i="6"/>
  <c r="G381" i="6"/>
  <c r="F381" i="6"/>
  <c r="E381" i="6"/>
  <c r="L346" i="6" l="1"/>
  <c r="L502" i="6" l="1"/>
  <c r="L495" i="6"/>
  <c r="O187" i="6" l="1"/>
  <c r="L800" i="6" l="1"/>
  <c r="O519" i="6" l="1"/>
  <c r="N519" i="6"/>
  <c r="M519" i="6"/>
  <c r="L519" i="6"/>
  <c r="K519" i="6"/>
  <c r="J519" i="6"/>
  <c r="I519" i="6"/>
  <c r="H519" i="6"/>
  <c r="G519" i="6"/>
  <c r="F519" i="6"/>
  <c r="E519" i="6"/>
  <c r="E514" i="6"/>
  <c r="F514" i="6"/>
  <c r="G514" i="6"/>
  <c r="H514" i="6"/>
  <c r="I514" i="6"/>
  <c r="J514" i="6"/>
  <c r="K514" i="6"/>
  <c r="L514" i="6"/>
  <c r="M514" i="6"/>
  <c r="N514" i="6"/>
  <c r="O514" i="6"/>
  <c r="L711" i="6" l="1"/>
  <c r="D737" i="6" l="1"/>
  <c r="D736" i="6"/>
  <c r="D735" i="6"/>
  <c r="D734" i="6"/>
  <c r="O733" i="6"/>
  <c r="N733" i="6"/>
  <c r="M733" i="6"/>
  <c r="L733" i="6"/>
  <c r="K733" i="6"/>
  <c r="J733" i="6"/>
  <c r="I733" i="6"/>
  <c r="H733" i="6"/>
  <c r="G733" i="6"/>
  <c r="F733" i="6"/>
  <c r="E733" i="6"/>
  <c r="L633" i="6"/>
  <c r="D733" i="6" l="1"/>
  <c r="L581" i="6"/>
  <c r="L507" i="6" l="1"/>
  <c r="L489" i="6" l="1"/>
  <c r="L379" i="6" l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O376" i="6"/>
  <c r="N376" i="6"/>
  <c r="M376" i="6"/>
  <c r="K376" i="6"/>
  <c r="J376" i="6"/>
  <c r="I376" i="6"/>
  <c r="H376" i="6"/>
  <c r="G376" i="6"/>
  <c r="F376" i="6"/>
  <c r="E376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M331" i="6"/>
  <c r="L366" i="6"/>
  <c r="L283" i="6" l="1"/>
  <c r="O361" i="6" l="1"/>
  <c r="N361" i="6"/>
  <c r="M361" i="6"/>
  <c r="D361" i="6" s="1"/>
  <c r="L361" i="6"/>
  <c r="K361" i="6"/>
  <c r="J361" i="6"/>
  <c r="I361" i="6"/>
  <c r="H361" i="6"/>
  <c r="G361" i="6"/>
  <c r="F361" i="6"/>
  <c r="E361" i="6"/>
  <c r="K537" i="6" l="1"/>
  <c r="L284" i="6" l="1"/>
  <c r="M790" i="6" l="1"/>
  <c r="N790" i="6"/>
  <c r="P790" i="6"/>
  <c r="Q790" i="6"/>
  <c r="R790" i="6"/>
  <c r="S790" i="6"/>
  <c r="L790" i="6"/>
  <c r="I801" i="6"/>
  <c r="H801" i="6"/>
  <c r="G801" i="6"/>
  <c r="F801" i="6"/>
  <c r="E801" i="6"/>
  <c r="D800" i="6"/>
  <c r="D799" i="6"/>
  <c r="O798" i="6"/>
  <c r="N798" i="6"/>
  <c r="N797" i="6" s="1"/>
  <c r="M798" i="6"/>
  <c r="L798" i="6"/>
  <c r="K798" i="6"/>
  <c r="K797" i="6" s="1"/>
  <c r="I798" i="6"/>
  <c r="I797" i="6" s="1"/>
  <c r="H798" i="6"/>
  <c r="H797" i="6" s="1"/>
  <c r="G798" i="6"/>
  <c r="F798" i="6"/>
  <c r="F797" i="6" s="1"/>
  <c r="E798" i="6"/>
  <c r="E797" i="6" s="1"/>
  <c r="M797" i="6"/>
  <c r="J797" i="6"/>
  <c r="D798" i="6" l="1"/>
  <c r="L797" i="6"/>
  <c r="D801" i="6"/>
  <c r="G797" i="6"/>
  <c r="D797" i="6" l="1"/>
  <c r="O341" i="6"/>
  <c r="N341" i="6"/>
  <c r="M341" i="6"/>
  <c r="L341" i="6"/>
  <c r="K341" i="6"/>
  <c r="J341" i="6"/>
  <c r="I341" i="6"/>
  <c r="H341" i="6"/>
  <c r="G341" i="6"/>
  <c r="F341" i="6"/>
  <c r="E341" i="6"/>
  <c r="O336" i="6"/>
  <c r="N336" i="6"/>
  <c r="M336" i="6"/>
  <c r="L336" i="6"/>
  <c r="K336" i="6"/>
  <c r="J336" i="6"/>
  <c r="I336" i="6"/>
  <c r="H336" i="6"/>
  <c r="G336" i="6"/>
  <c r="F336" i="6"/>
  <c r="E336" i="6"/>
  <c r="M554" i="6" l="1"/>
  <c r="O351" i="6" l="1"/>
  <c r="N351" i="6"/>
  <c r="M351" i="6"/>
  <c r="D351" i="6" s="1"/>
  <c r="L351" i="6"/>
  <c r="K351" i="6"/>
  <c r="J351" i="6"/>
  <c r="I351" i="6"/>
  <c r="H351" i="6"/>
  <c r="G351" i="6"/>
  <c r="F351" i="6"/>
  <c r="E351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26" i="6" l="1"/>
  <c r="N767" i="6"/>
  <c r="O767" i="6"/>
  <c r="M765" i="6"/>
  <c r="M624" i="6" s="1"/>
  <c r="M11" i="6" s="1"/>
  <c r="N765" i="6"/>
  <c r="O765" i="6"/>
  <c r="L767" i="6"/>
  <c r="L765" i="6"/>
  <c r="K289" i="6" l="1"/>
  <c r="K269" i="6"/>
  <c r="K266" i="6" s="1"/>
  <c r="K604" i="6" l="1"/>
  <c r="K243" i="6"/>
  <c r="K303" i="6"/>
  <c r="L331" i="6" l="1"/>
  <c r="K331" i="6"/>
  <c r="J331" i="6"/>
  <c r="I331" i="6"/>
  <c r="H331" i="6"/>
  <c r="G331" i="6"/>
  <c r="F331" i="6"/>
  <c r="E331" i="6"/>
  <c r="K695" i="6" l="1"/>
  <c r="K664" i="6" l="1"/>
  <c r="K689" i="6" l="1"/>
  <c r="K326" i="6" l="1"/>
  <c r="J326" i="6"/>
  <c r="I326" i="6"/>
  <c r="H326" i="6"/>
  <c r="G326" i="6"/>
  <c r="F326" i="6"/>
  <c r="E326" i="6"/>
  <c r="K795" i="6" l="1"/>
  <c r="K790" i="6" s="1"/>
  <c r="K726" i="6"/>
  <c r="K716" i="6"/>
  <c r="K679" i="6"/>
  <c r="K542" i="6"/>
  <c r="K495" i="6"/>
  <c r="K454" i="6"/>
  <c r="K324" i="6"/>
  <c r="K319" i="6"/>
  <c r="K214" i="6"/>
  <c r="K209" i="6"/>
  <c r="K560" i="6" l="1"/>
  <c r="K444" i="6" l="1"/>
  <c r="K502" i="6" l="1"/>
  <c r="K41" i="6"/>
  <c r="K229" i="6" l="1"/>
  <c r="K706" i="6" l="1"/>
  <c r="L474" i="6"/>
  <c r="K47" i="6"/>
  <c r="K610" i="6" l="1"/>
  <c r="K581" i="6"/>
  <c r="K299" i="6" l="1"/>
  <c r="K474" i="6" l="1"/>
  <c r="O633" i="6" l="1"/>
  <c r="O626" i="6" s="1"/>
  <c r="N626" i="6"/>
  <c r="D626" i="6" s="1"/>
  <c r="M622" i="6"/>
  <c r="L626" i="6"/>
  <c r="L598" i="6"/>
  <c r="M598" i="6"/>
  <c r="D598" i="6" s="1"/>
  <c r="N598" i="6"/>
  <c r="O598" i="6"/>
  <c r="L571" i="6"/>
  <c r="L566" i="6" s="1"/>
  <c r="M571" i="6"/>
  <c r="M566" i="6" s="1"/>
  <c r="N571" i="6"/>
  <c r="N566" i="6" s="1"/>
  <c r="O571" i="6"/>
  <c r="O566" i="6" s="1"/>
  <c r="M489" i="6"/>
  <c r="N489" i="6"/>
  <c r="L439" i="6"/>
  <c r="K644" i="6" l="1"/>
  <c r="K321" i="6" l="1"/>
  <c r="J321" i="6"/>
  <c r="I321" i="6"/>
  <c r="H321" i="6"/>
  <c r="G321" i="6"/>
  <c r="F321" i="6"/>
  <c r="E321" i="6"/>
  <c r="K527" i="6" l="1"/>
  <c r="O539" i="6"/>
  <c r="N539" i="6"/>
  <c r="M539" i="6"/>
  <c r="L539" i="6"/>
  <c r="K539" i="6"/>
  <c r="J539" i="6"/>
  <c r="I539" i="6"/>
  <c r="H539" i="6"/>
  <c r="G539" i="6"/>
  <c r="F539" i="6"/>
  <c r="E539" i="6"/>
  <c r="K256" i="6" l="1"/>
  <c r="D732" i="6" l="1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8" i="6" l="1"/>
  <c r="J790" i="6"/>
  <c r="J787" i="6" s="1"/>
  <c r="O793" i="6"/>
  <c r="N793" i="6"/>
  <c r="N792" i="6" s="1"/>
  <c r="M793" i="6"/>
  <c r="L793" i="6"/>
  <c r="L792" i="6" s="1"/>
  <c r="K793" i="6"/>
  <c r="K792" i="6" s="1"/>
  <c r="O788" i="6"/>
  <c r="N788" i="6"/>
  <c r="N787" i="6" s="1"/>
  <c r="M788" i="6"/>
  <c r="M787" i="6" s="1"/>
  <c r="L788" i="6"/>
  <c r="L787" i="6" s="1"/>
  <c r="K788" i="6"/>
  <c r="I796" i="6"/>
  <c r="H796" i="6"/>
  <c r="G796" i="6"/>
  <c r="F796" i="6"/>
  <c r="E796" i="6"/>
  <c r="I793" i="6"/>
  <c r="H793" i="6"/>
  <c r="G793" i="6"/>
  <c r="F793" i="6"/>
  <c r="E793" i="6"/>
  <c r="I791" i="6"/>
  <c r="H791" i="6"/>
  <c r="G791" i="6"/>
  <c r="F791" i="6"/>
  <c r="E791" i="6"/>
  <c r="I788" i="6"/>
  <c r="H788" i="6"/>
  <c r="G788" i="6"/>
  <c r="F788" i="6"/>
  <c r="E788" i="6"/>
  <c r="D795" i="6"/>
  <c r="D794" i="6"/>
  <c r="M792" i="6"/>
  <c r="J792" i="6"/>
  <c r="D789" i="6"/>
  <c r="D727" i="6"/>
  <c r="D726" i="6"/>
  <c r="D725" i="6"/>
  <c r="D724" i="6"/>
  <c r="O723" i="6"/>
  <c r="N723" i="6"/>
  <c r="M723" i="6"/>
  <c r="L723" i="6"/>
  <c r="K723" i="6"/>
  <c r="J723" i="6"/>
  <c r="I723" i="6"/>
  <c r="H723" i="6"/>
  <c r="G723" i="6"/>
  <c r="F723" i="6"/>
  <c r="E723" i="6"/>
  <c r="D720" i="6"/>
  <c r="D722" i="6"/>
  <c r="D721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I787" i="6" l="1"/>
  <c r="G792" i="6"/>
  <c r="E787" i="6"/>
  <c r="G787" i="6"/>
  <c r="F787" i="6"/>
  <c r="H787" i="6"/>
  <c r="D793" i="6"/>
  <c r="I792" i="6"/>
  <c r="D723" i="6"/>
  <c r="D791" i="6"/>
  <c r="D788" i="6"/>
  <c r="E792" i="6"/>
  <c r="F792" i="6"/>
  <c r="H792" i="6"/>
  <c r="D796" i="6"/>
  <c r="D792" i="6" s="1"/>
  <c r="D790" i="6"/>
  <c r="K787" i="6"/>
  <c r="D718" i="6"/>
  <c r="D787" i="6" l="1"/>
  <c r="K31" i="6"/>
  <c r="E316" i="6" l="1"/>
  <c r="F316" i="6"/>
  <c r="G316" i="6"/>
  <c r="H316" i="6"/>
  <c r="I316" i="6"/>
  <c r="J316" i="6"/>
  <c r="K316" i="6"/>
  <c r="K279" i="6" l="1"/>
  <c r="K489" i="6" l="1"/>
  <c r="K187" i="6" l="1"/>
  <c r="K34" i="6" s="1"/>
  <c r="O713" i="6" l="1"/>
  <c r="N713" i="6"/>
  <c r="M713" i="6"/>
  <c r="L713" i="6"/>
  <c r="K713" i="6"/>
  <c r="J713" i="6"/>
  <c r="I713" i="6"/>
  <c r="H713" i="6"/>
  <c r="G713" i="6"/>
  <c r="F713" i="6"/>
  <c r="E713" i="6"/>
  <c r="D717" i="6"/>
  <c r="D716" i="6"/>
  <c r="D715" i="6"/>
  <c r="D714" i="6"/>
  <c r="K815" i="6"/>
  <c r="K654" i="6"/>
  <c r="K439" i="6"/>
  <c r="F471" i="6"/>
  <c r="G471" i="6"/>
  <c r="H471" i="6"/>
  <c r="I471" i="6"/>
  <c r="J471" i="6"/>
  <c r="K471" i="6"/>
  <c r="L471" i="6"/>
  <c r="M471" i="6"/>
  <c r="N471" i="6"/>
  <c r="O471" i="6"/>
  <c r="E471" i="6"/>
  <c r="D713" i="6" l="1"/>
  <c r="O708" i="6"/>
  <c r="N708" i="6"/>
  <c r="M708" i="6"/>
  <c r="L708" i="6"/>
  <c r="K708" i="6"/>
  <c r="J708" i="6"/>
  <c r="I708" i="6"/>
  <c r="H708" i="6"/>
  <c r="G708" i="6"/>
  <c r="F708" i="6"/>
  <c r="E708" i="6"/>
  <c r="D712" i="6"/>
  <c r="D711" i="6"/>
  <c r="D710" i="6"/>
  <c r="D709" i="6"/>
  <c r="D708" i="6" l="1"/>
  <c r="O311" i="6"/>
  <c r="N311" i="6"/>
  <c r="M311" i="6"/>
  <c r="D311" i="6" s="1"/>
  <c r="L311" i="6"/>
  <c r="K311" i="6"/>
  <c r="J311" i="6"/>
  <c r="I311" i="6"/>
  <c r="H311" i="6"/>
  <c r="G311" i="6"/>
  <c r="F311" i="6"/>
  <c r="E311" i="6"/>
  <c r="M306" i="6" l="1"/>
  <c r="D306" i="6" s="1"/>
  <c r="N306" i="6"/>
  <c r="O306" i="6"/>
  <c r="L306" i="6"/>
  <c r="K306" i="6"/>
  <c r="F306" i="6"/>
  <c r="G306" i="6"/>
  <c r="H306" i="6"/>
  <c r="I306" i="6"/>
  <c r="J306" i="6"/>
  <c r="E306" i="6"/>
  <c r="K633" i="6" l="1"/>
  <c r="K556" i="6" l="1"/>
  <c r="E525" i="6" l="1"/>
  <c r="F525" i="6"/>
  <c r="G525" i="6"/>
  <c r="H525" i="6"/>
  <c r="I525" i="6"/>
  <c r="J525" i="6"/>
  <c r="F528" i="6" l="1"/>
  <c r="G528" i="6"/>
  <c r="H528" i="6"/>
  <c r="I528" i="6"/>
  <c r="J528" i="6"/>
  <c r="K528" i="6"/>
  <c r="L528" i="6"/>
  <c r="M528" i="6"/>
  <c r="N528" i="6"/>
  <c r="O528" i="6"/>
  <c r="E528" i="6"/>
  <c r="F527" i="6"/>
  <c r="G527" i="6"/>
  <c r="H527" i="6"/>
  <c r="I527" i="6"/>
  <c r="L527" i="6"/>
  <c r="M527" i="6"/>
  <c r="N527" i="6"/>
  <c r="O527" i="6"/>
  <c r="E527" i="6"/>
  <c r="F526" i="6"/>
  <c r="G526" i="6"/>
  <c r="H526" i="6"/>
  <c r="I526" i="6"/>
  <c r="J526" i="6"/>
  <c r="K526" i="6"/>
  <c r="L526" i="6"/>
  <c r="M526" i="6"/>
  <c r="N526" i="6"/>
  <c r="O526" i="6"/>
  <c r="E526" i="6"/>
  <c r="K525" i="6"/>
  <c r="L525" i="6"/>
  <c r="M525" i="6"/>
  <c r="N525" i="6"/>
  <c r="O525" i="6"/>
  <c r="F534" i="6"/>
  <c r="G534" i="6"/>
  <c r="H534" i="6"/>
  <c r="I534" i="6"/>
  <c r="J534" i="6"/>
  <c r="K534" i="6"/>
  <c r="L534" i="6"/>
  <c r="M534" i="6"/>
  <c r="N534" i="6"/>
  <c r="O534" i="6"/>
  <c r="E534" i="6"/>
  <c r="F529" i="6"/>
  <c r="G529" i="6"/>
  <c r="H529" i="6"/>
  <c r="I529" i="6"/>
  <c r="K529" i="6"/>
  <c r="L529" i="6"/>
  <c r="M529" i="6"/>
  <c r="N529" i="6"/>
  <c r="O529" i="6"/>
  <c r="E529" i="6"/>
  <c r="F550" i="6"/>
  <c r="G550" i="6"/>
  <c r="H550" i="6"/>
  <c r="I550" i="6"/>
  <c r="J550" i="6"/>
  <c r="K550" i="6"/>
  <c r="L550" i="6"/>
  <c r="M550" i="6"/>
  <c r="N550" i="6"/>
  <c r="O550" i="6"/>
  <c r="E550" i="6"/>
  <c r="F548" i="6"/>
  <c r="G548" i="6"/>
  <c r="H548" i="6"/>
  <c r="I548" i="6"/>
  <c r="J548" i="6"/>
  <c r="K548" i="6"/>
  <c r="L548" i="6"/>
  <c r="M548" i="6"/>
  <c r="N548" i="6"/>
  <c r="O548" i="6"/>
  <c r="E548" i="6"/>
  <c r="F546" i="6"/>
  <c r="G546" i="6"/>
  <c r="H546" i="6"/>
  <c r="I546" i="6"/>
  <c r="J546" i="6"/>
  <c r="K546" i="6"/>
  <c r="L546" i="6"/>
  <c r="M546" i="6"/>
  <c r="N546" i="6"/>
  <c r="O546" i="6"/>
  <c r="E546" i="6"/>
  <c r="F545" i="6"/>
  <c r="G545" i="6"/>
  <c r="H545" i="6"/>
  <c r="I545" i="6"/>
  <c r="J545" i="6"/>
  <c r="K545" i="6"/>
  <c r="L545" i="6"/>
  <c r="M545" i="6"/>
  <c r="N545" i="6"/>
  <c r="O545" i="6"/>
  <c r="E545" i="6"/>
  <c r="F556" i="6"/>
  <c r="G556" i="6"/>
  <c r="H556" i="6"/>
  <c r="I556" i="6"/>
  <c r="J556" i="6"/>
  <c r="L556" i="6"/>
  <c r="M556" i="6"/>
  <c r="N556" i="6"/>
  <c r="O556" i="6"/>
  <c r="E556" i="6"/>
  <c r="F29" i="6" l="1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J695" i="6" l="1"/>
  <c r="J648" i="6"/>
  <c r="J269" i="6"/>
  <c r="J815" i="6" l="1"/>
  <c r="J689" i="6" l="1"/>
  <c r="J679" i="6"/>
  <c r="J644" i="6"/>
  <c r="J610" i="6"/>
  <c r="J581" i="6"/>
  <c r="J444" i="6"/>
  <c r="J654" i="6" l="1"/>
  <c r="J495" i="6"/>
  <c r="J454" i="6"/>
  <c r="J274" i="6"/>
  <c r="J187" i="6"/>
  <c r="J279" i="6"/>
  <c r="J41" i="6"/>
  <c r="J706" i="6"/>
  <c r="J224" i="6"/>
  <c r="J604" i="6" l="1"/>
  <c r="M199" i="6" l="1"/>
  <c r="D199" i="6" s="1"/>
  <c r="L199" i="6"/>
  <c r="K199" i="6"/>
  <c r="O512" i="6"/>
  <c r="O489" i="6" s="1"/>
  <c r="L632" i="6"/>
  <c r="L624" i="6" s="1"/>
  <c r="O632" i="6"/>
  <c r="K632" i="6"/>
  <c r="K765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507" i="6"/>
  <c r="J532" i="6"/>
  <c r="J765" i="6"/>
  <c r="J767" i="6"/>
  <c r="J769" i="6"/>
  <c r="J209" i="6"/>
  <c r="J206" i="6" s="1"/>
  <c r="E598" i="6"/>
  <c r="J598" i="6"/>
  <c r="J664" i="6"/>
  <c r="J502" i="6"/>
  <c r="J683" i="6"/>
  <c r="J668" i="6"/>
  <c r="D668" i="6" s="1"/>
  <c r="J458" i="6"/>
  <c r="J448" i="6"/>
  <c r="J199" i="6"/>
  <c r="J551" i="6"/>
  <c r="K551" i="6"/>
  <c r="L551" i="6"/>
  <c r="J65" i="6"/>
  <c r="J254" i="6"/>
  <c r="I623" i="6"/>
  <c r="E623" i="6"/>
  <c r="I786" i="6"/>
  <c r="I781" i="6" s="1"/>
  <c r="H786" i="6"/>
  <c r="H781" i="6" s="1"/>
  <c r="G786" i="6"/>
  <c r="G781" i="6" s="1"/>
  <c r="F786" i="6"/>
  <c r="F781" i="6" s="1"/>
  <c r="E786" i="6"/>
  <c r="E781" i="6" s="1"/>
  <c r="D785" i="6"/>
  <c r="D784" i="6"/>
  <c r="O783" i="6"/>
  <c r="O782" i="6" s="1"/>
  <c r="N783" i="6"/>
  <c r="N782" i="6" s="1"/>
  <c r="M783" i="6"/>
  <c r="M782" i="6" s="1"/>
  <c r="L783" i="6"/>
  <c r="L782" i="6" s="1"/>
  <c r="K783" i="6"/>
  <c r="K782" i="6" s="1"/>
  <c r="J783" i="6"/>
  <c r="J782" i="6" s="1"/>
  <c r="I783" i="6"/>
  <c r="I778" i="6" s="1"/>
  <c r="H783" i="6"/>
  <c r="G783" i="6"/>
  <c r="F783" i="6"/>
  <c r="F778" i="6" s="1"/>
  <c r="E783" i="6"/>
  <c r="E778" i="6" s="1"/>
  <c r="K781" i="6"/>
  <c r="J781" i="6"/>
  <c r="K780" i="6"/>
  <c r="J780" i="6"/>
  <c r="I780" i="6"/>
  <c r="H780" i="6"/>
  <c r="G780" i="6"/>
  <c r="E780" i="6"/>
  <c r="F780" i="6"/>
  <c r="K779" i="6"/>
  <c r="J779" i="6"/>
  <c r="I779" i="6"/>
  <c r="H779" i="6"/>
  <c r="G779" i="6"/>
  <c r="F779" i="6"/>
  <c r="E779" i="6"/>
  <c r="O778" i="6"/>
  <c r="O777" i="6" s="1"/>
  <c r="N778" i="6"/>
  <c r="N777" i="6" s="1"/>
  <c r="M778" i="6"/>
  <c r="M777" i="6" s="1"/>
  <c r="L778" i="6"/>
  <c r="L777" i="6" s="1"/>
  <c r="J264" i="6"/>
  <c r="J261" i="6" s="1"/>
  <c r="E596" i="6"/>
  <c r="F596" i="6"/>
  <c r="G596" i="6"/>
  <c r="G613" i="6"/>
  <c r="H596" i="6"/>
  <c r="I596" i="6"/>
  <c r="J596" i="6"/>
  <c r="K596" i="6"/>
  <c r="K613" i="6"/>
  <c r="L596" i="6"/>
  <c r="M596" i="6"/>
  <c r="N596" i="6"/>
  <c r="O596" i="6"/>
  <c r="O613" i="6"/>
  <c r="E597" i="6"/>
  <c r="F597" i="6"/>
  <c r="G597" i="6"/>
  <c r="H597" i="6"/>
  <c r="H614" i="6"/>
  <c r="I597" i="6"/>
  <c r="J597" i="6"/>
  <c r="K597" i="6"/>
  <c r="L597" i="6"/>
  <c r="L600" i="6"/>
  <c r="L594" i="6" s="1"/>
  <c r="M597" i="6"/>
  <c r="N597" i="6"/>
  <c r="O597" i="6"/>
  <c r="F598" i="6"/>
  <c r="F615" i="6"/>
  <c r="G598" i="6"/>
  <c r="H598" i="6"/>
  <c r="I598" i="6"/>
  <c r="K598" i="6"/>
  <c r="K615" i="6"/>
  <c r="E599" i="6"/>
  <c r="E589" i="6" s="1"/>
  <c r="F599" i="6"/>
  <c r="F593" i="6" s="1"/>
  <c r="G599" i="6"/>
  <c r="H599" i="6"/>
  <c r="H593" i="6" s="1"/>
  <c r="I599" i="6"/>
  <c r="I593" i="6" s="1"/>
  <c r="J599" i="6"/>
  <c r="J593" i="6" s="1"/>
  <c r="K599" i="6"/>
  <c r="L599" i="6"/>
  <c r="L593" i="6" s="1"/>
  <c r="M599" i="6"/>
  <c r="M589" i="6" s="1"/>
  <c r="N599" i="6"/>
  <c r="N593" i="6" s="1"/>
  <c r="O599" i="6"/>
  <c r="E600" i="6"/>
  <c r="F600" i="6"/>
  <c r="G600" i="6"/>
  <c r="H600" i="6"/>
  <c r="I600" i="6"/>
  <c r="J600" i="6"/>
  <c r="K600" i="6"/>
  <c r="K594" i="6" s="1"/>
  <c r="M600" i="6"/>
  <c r="N600" i="6"/>
  <c r="N594" i="6" s="1"/>
  <c r="O600" i="6"/>
  <c r="O594" i="6" s="1"/>
  <c r="F613" i="6"/>
  <c r="H613" i="6"/>
  <c r="I613" i="6"/>
  <c r="J613" i="6"/>
  <c r="L613" i="6"/>
  <c r="M613" i="6"/>
  <c r="N613" i="6"/>
  <c r="F614" i="6"/>
  <c r="G614" i="6"/>
  <c r="I614" i="6"/>
  <c r="J614" i="6"/>
  <c r="K614" i="6"/>
  <c r="L614" i="6"/>
  <c r="M614" i="6"/>
  <c r="N614" i="6"/>
  <c r="O614" i="6"/>
  <c r="G615" i="6"/>
  <c r="H615" i="6"/>
  <c r="I615" i="6"/>
  <c r="J615" i="6"/>
  <c r="L615" i="6"/>
  <c r="L592" i="6" s="1"/>
  <c r="M615" i="6"/>
  <c r="M592" i="6" s="1"/>
  <c r="D592" i="6" s="1"/>
  <c r="N615" i="6"/>
  <c r="N592" i="6" s="1"/>
  <c r="O615" i="6"/>
  <c r="O592" i="6" s="1"/>
  <c r="F616" i="6"/>
  <c r="G616" i="6"/>
  <c r="H616" i="6"/>
  <c r="I616" i="6"/>
  <c r="J616" i="6"/>
  <c r="K616" i="6"/>
  <c r="L616" i="6"/>
  <c r="M616" i="6"/>
  <c r="N616" i="6"/>
  <c r="O616" i="6"/>
  <c r="E616" i="6"/>
  <c r="E614" i="6"/>
  <c r="E615" i="6"/>
  <c r="E613" i="6"/>
  <c r="O617" i="6"/>
  <c r="N617" i="6"/>
  <c r="M617" i="6"/>
  <c r="L617" i="6"/>
  <c r="K617" i="6"/>
  <c r="J617" i="6"/>
  <c r="I617" i="6"/>
  <c r="H617" i="6"/>
  <c r="G617" i="6"/>
  <c r="F617" i="6"/>
  <c r="E61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33" i="6"/>
  <c r="J229" i="6"/>
  <c r="J219" i="6"/>
  <c r="J214" i="6"/>
  <c r="J4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R17" i="5"/>
  <c r="Q17" i="5"/>
  <c r="P17" i="5"/>
  <c r="O17" i="5"/>
  <c r="N17" i="5"/>
  <c r="S17" i="5"/>
  <c r="I17" i="5"/>
  <c r="H57" i="5"/>
  <c r="H58" i="5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81" i="6"/>
  <c r="I703" i="6"/>
  <c r="Q703" i="6" s="1"/>
  <c r="I490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488" i="6"/>
  <c r="O266" i="6"/>
  <c r="N266" i="6"/>
  <c r="M266" i="6"/>
  <c r="L266" i="6"/>
  <c r="J266" i="6"/>
  <c r="I266" i="6"/>
  <c r="H266" i="6"/>
  <c r="G266" i="6"/>
  <c r="F266" i="6"/>
  <c r="E266" i="6"/>
  <c r="O261" i="6"/>
  <c r="N261" i="6"/>
  <c r="M261" i="6"/>
  <c r="L261" i="6"/>
  <c r="K261" i="6"/>
  <c r="I261" i="6"/>
  <c r="H261" i="6"/>
  <c r="G261" i="6"/>
  <c r="F261" i="6"/>
  <c r="E261" i="6"/>
  <c r="O256" i="6"/>
  <c r="N256" i="6"/>
  <c r="M256" i="6"/>
  <c r="L256" i="6"/>
  <c r="J256" i="6"/>
  <c r="I256" i="6"/>
  <c r="H256" i="6"/>
  <c r="G256" i="6"/>
  <c r="F256" i="6"/>
  <c r="E256" i="6"/>
  <c r="O551" i="6"/>
  <c r="N551" i="6"/>
  <c r="M551" i="6"/>
  <c r="I551" i="6"/>
  <c r="H551" i="6"/>
  <c r="G551" i="6"/>
  <c r="F551" i="6"/>
  <c r="E551" i="6"/>
  <c r="I54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24" i="6"/>
  <c r="M118" i="5"/>
  <c r="I815" i="6"/>
  <c r="I810" i="6" s="1"/>
  <c r="I807" i="6" s="1"/>
  <c r="I805" i="6" s="1"/>
  <c r="I679" i="6"/>
  <c r="I676" i="6" s="1"/>
  <c r="I664" i="6"/>
  <c r="I577" i="6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07" i="6"/>
  <c r="I644" i="6"/>
  <c r="D644" i="6" s="1"/>
  <c r="I695" i="6"/>
  <c r="I654" i="6"/>
  <c r="D654" i="6" s="1"/>
  <c r="I448" i="6"/>
  <c r="I502" i="6"/>
  <c r="I499" i="6" s="1"/>
  <c r="I495" i="6"/>
  <c r="I458" i="6"/>
  <c r="I581" i="6"/>
  <c r="M76" i="5"/>
  <c r="H76" i="5" s="1"/>
  <c r="Q85" i="5"/>
  <c r="H85" i="5" s="1"/>
  <c r="I91" i="5"/>
  <c r="D706" i="6"/>
  <c r="D707" i="6"/>
  <c r="D705" i="6"/>
  <c r="D704" i="6"/>
  <c r="O703" i="6"/>
  <c r="N703" i="6"/>
  <c r="M703" i="6"/>
  <c r="L703" i="6"/>
  <c r="K703" i="6"/>
  <c r="J703" i="6"/>
  <c r="H703" i="6"/>
  <c r="G703" i="6"/>
  <c r="E703" i="6"/>
  <c r="F703" i="6"/>
  <c r="J91" i="5"/>
  <c r="K91" i="5"/>
  <c r="L91" i="5"/>
  <c r="O91" i="5"/>
  <c r="P91" i="5"/>
  <c r="Q91" i="5"/>
  <c r="R91" i="5"/>
  <c r="S91" i="5"/>
  <c r="H108" i="5"/>
  <c r="M40" i="5"/>
  <c r="M17" i="5" s="1"/>
  <c r="L456" i="6"/>
  <c r="M456" i="6"/>
  <c r="N456" i="6"/>
  <c r="O456" i="6"/>
  <c r="L446" i="6"/>
  <c r="M446" i="6"/>
  <c r="N446" i="6"/>
  <c r="O446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72" i="6"/>
  <c r="D774" i="6"/>
  <c r="D699" i="6"/>
  <c r="D700" i="6"/>
  <c r="D701" i="6"/>
  <c r="D702" i="6"/>
  <c r="D693" i="6"/>
  <c r="D694" i="6"/>
  <c r="D696" i="6"/>
  <c r="D697" i="6"/>
  <c r="D687" i="6"/>
  <c r="D688" i="6"/>
  <c r="D689" i="6"/>
  <c r="D690" i="6"/>
  <c r="D691" i="6"/>
  <c r="D682" i="6"/>
  <c r="D684" i="6"/>
  <c r="D685" i="6"/>
  <c r="D677" i="6"/>
  <c r="D678" i="6"/>
  <c r="D680" i="6"/>
  <c r="D672" i="6"/>
  <c r="D673" i="6"/>
  <c r="D674" i="6"/>
  <c r="D675" i="6"/>
  <c r="D667" i="6"/>
  <c r="D669" i="6"/>
  <c r="D670" i="6"/>
  <c r="D662" i="6"/>
  <c r="D663" i="6"/>
  <c r="D665" i="6"/>
  <c r="D657" i="6"/>
  <c r="D658" i="6"/>
  <c r="D659" i="6"/>
  <c r="D660" i="6"/>
  <c r="D652" i="6"/>
  <c r="D653" i="6"/>
  <c r="D655" i="6"/>
  <c r="D647" i="6"/>
  <c r="D648" i="6"/>
  <c r="D649" i="6"/>
  <c r="D650" i="6"/>
  <c r="D642" i="6"/>
  <c r="D643" i="6"/>
  <c r="D645" i="6"/>
  <c r="E583" i="6"/>
  <c r="F583" i="6"/>
  <c r="G583" i="6"/>
  <c r="H583" i="6"/>
  <c r="I583" i="6"/>
  <c r="J583" i="6"/>
  <c r="K583" i="6"/>
  <c r="L583" i="6"/>
  <c r="M583" i="6"/>
  <c r="N583" i="6"/>
  <c r="O583" i="6"/>
  <c r="D3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92" i="6"/>
  <c r="M692" i="6"/>
  <c r="M810" i="6"/>
  <c r="L810" i="6"/>
  <c r="L807" i="6" s="1"/>
  <c r="L812" i="6"/>
  <c r="L692" i="6"/>
  <c r="O692" i="6"/>
  <c r="M812" i="6"/>
  <c r="D812" i="6" s="1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72" i="6"/>
  <c r="M572" i="6"/>
  <c r="M567" i="6" s="1"/>
  <c r="M17" i="6" s="1"/>
  <c r="N572" i="6"/>
  <c r="N567" i="6" s="1"/>
  <c r="N17" i="6" s="1"/>
  <c r="O572" i="6"/>
  <c r="O567" i="6" s="1"/>
  <c r="O17" i="6" s="1"/>
  <c r="L570" i="6"/>
  <c r="M570" i="6"/>
  <c r="N570" i="6"/>
  <c r="O570" i="6"/>
  <c r="L569" i="6"/>
  <c r="L564" i="6" s="1"/>
  <c r="M569" i="6"/>
  <c r="M564" i="6" s="1"/>
  <c r="N569" i="6"/>
  <c r="N564" i="6" s="1"/>
  <c r="O569" i="6"/>
  <c r="O564" i="6" s="1"/>
  <c r="L565" i="6"/>
  <c r="M565" i="6"/>
  <c r="N565" i="6"/>
  <c r="O565" i="6"/>
  <c r="L629" i="6"/>
  <c r="M629" i="6"/>
  <c r="N629" i="6"/>
  <c r="O629" i="6"/>
  <c r="L623" i="6"/>
  <c r="M623" i="6"/>
  <c r="N623" i="6"/>
  <c r="O623" i="6"/>
  <c r="L631" i="6"/>
  <c r="M631" i="6"/>
  <c r="M630" i="6" s="1"/>
  <c r="N631" i="6"/>
  <c r="O631" i="6"/>
  <c r="L651" i="6"/>
  <c r="M594" i="6"/>
  <c r="M593" i="6"/>
  <c r="O593" i="6"/>
  <c r="L607" i="6"/>
  <c r="M607" i="6"/>
  <c r="D607" i="6" s="1"/>
  <c r="N607" i="6"/>
  <c r="O607" i="6"/>
  <c r="L601" i="6"/>
  <c r="M601" i="6"/>
  <c r="D601" i="6" s="1"/>
  <c r="N601" i="6"/>
  <c r="O601" i="6"/>
  <c r="L578" i="6"/>
  <c r="M578" i="6"/>
  <c r="N578" i="6"/>
  <c r="O578" i="6"/>
  <c r="L573" i="6"/>
  <c r="M573" i="6"/>
  <c r="N573" i="6"/>
  <c r="O573" i="6"/>
  <c r="L509" i="6"/>
  <c r="M509" i="6"/>
  <c r="L504" i="6"/>
  <c r="M504" i="6"/>
  <c r="N504" i="6"/>
  <c r="O504" i="6"/>
  <c r="L499" i="6"/>
  <c r="M499" i="6"/>
  <c r="N499" i="6"/>
  <c r="O499" i="6"/>
  <c r="L487" i="6"/>
  <c r="M487" i="6"/>
  <c r="M437" i="6"/>
  <c r="N487" i="6"/>
  <c r="O487" i="6"/>
  <c r="L488" i="6"/>
  <c r="M488" i="6"/>
  <c r="N488" i="6"/>
  <c r="O488" i="6"/>
  <c r="L490" i="6"/>
  <c r="M490" i="6"/>
  <c r="N490" i="6"/>
  <c r="O490" i="6"/>
  <c r="L492" i="6"/>
  <c r="M492" i="6"/>
  <c r="N492" i="6"/>
  <c r="O492" i="6"/>
  <c r="L437" i="6"/>
  <c r="N437" i="6"/>
  <c r="O437" i="6"/>
  <c r="L440" i="6"/>
  <c r="M440" i="6"/>
  <c r="N440" i="6"/>
  <c r="O440" i="6"/>
  <c r="L438" i="6"/>
  <c r="M438" i="6"/>
  <c r="N438" i="6"/>
  <c r="O43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D206" i="6" s="1"/>
  <c r="N206" i="6"/>
  <c r="O206" i="6"/>
  <c r="L641" i="6"/>
  <c r="M641" i="6"/>
  <c r="N641" i="6"/>
  <c r="O641" i="6"/>
  <c r="L646" i="6"/>
  <c r="M646" i="6"/>
  <c r="N646" i="6"/>
  <c r="O646" i="6"/>
  <c r="L806" i="6"/>
  <c r="M806" i="6"/>
  <c r="N806" i="6"/>
  <c r="O806" i="6"/>
  <c r="L803" i="6"/>
  <c r="M803" i="6"/>
  <c r="N803" i="6"/>
  <c r="O803" i="6"/>
  <c r="L804" i="6"/>
  <c r="L764" i="6" s="1"/>
  <c r="L763" i="6" s="1"/>
  <c r="M804" i="6"/>
  <c r="M764" i="6" s="1"/>
  <c r="M763" i="6" s="1"/>
  <c r="N804" i="6"/>
  <c r="N764" i="6" s="1"/>
  <c r="N763" i="6" s="1"/>
  <c r="O804" i="6"/>
  <c r="O764" i="6" s="1"/>
  <c r="O763" i="6" s="1"/>
  <c r="L698" i="6"/>
  <c r="M698" i="6"/>
  <c r="N698" i="6"/>
  <c r="O698" i="6"/>
  <c r="L666" i="6"/>
  <c r="M666" i="6"/>
  <c r="N666" i="6"/>
  <c r="O666" i="6"/>
  <c r="L661" i="6"/>
  <c r="M661" i="6"/>
  <c r="N661" i="6"/>
  <c r="O661" i="6"/>
  <c r="L676" i="6"/>
  <c r="M676" i="6"/>
  <c r="N676" i="6"/>
  <c r="O676" i="6"/>
  <c r="L681" i="6"/>
  <c r="M681" i="6"/>
  <c r="N681" i="6"/>
  <c r="O681" i="6"/>
  <c r="L686" i="6"/>
  <c r="M686" i="6"/>
  <c r="N686" i="6"/>
  <c r="O686" i="6"/>
  <c r="O771" i="6"/>
  <c r="O770" i="6" s="1"/>
  <c r="N771" i="6"/>
  <c r="N770" i="6" s="1"/>
  <c r="M771" i="6"/>
  <c r="M770" i="6" s="1"/>
  <c r="L771" i="6"/>
  <c r="L770" i="6" s="1"/>
  <c r="O671" i="6"/>
  <c r="N671" i="6"/>
  <c r="M671" i="6"/>
  <c r="L671" i="6"/>
  <c r="O656" i="6"/>
  <c r="N656" i="6"/>
  <c r="M656" i="6"/>
  <c r="L656" i="6"/>
  <c r="N636" i="6"/>
  <c r="M636" i="6"/>
  <c r="L636" i="6"/>
  <c r="L451" i="6"/>
  <c r="M451" i="6"/>
  <c r="D451" i="6" s="1"/>
  <c r="N451" i="6"/>
  <c r="O451" i="6"/>
  <c r="L441" i="6"/>
  <c r="M441" i="6"/>
  <c r="D441" i="6" s="1"/>
  <c r="N441" i="6"/>
  <c r="O441" i="6"/>
  <c r="N810" i="6"/>
  <c r="N805" i="6" s="1"/>
  <c r="N509" i="6"/>
  <c r="L589" i="6"/>
  <c r="O589" i="6"/>
  <c r="N589" i="6"/>
  <c r="N812" i="6"/>
  <c r="L612" i="6"/>
  <c r="N612" i="6"/>
  <c r="O812" i="6"/>
  <c r="O81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N31" i="6" s="1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66" i="6"/>
  <c r="N466" i="6"/>
  <c r="M466" i="6"/>
  <c r="L466" i="6"/>
  <c r="O461" i="6"/>
  <c r="N461" i="6"/>
  <c r="M461" i="6"/>
  <c r="L46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D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89" i="6"/>
  <c r="G489" i="6"/>
  <c r="H489" i="6"/>
  <c r="J489" i="6"/>
  <c r="K24" i="6"/>
  <c r="E489" i="6"/>
  <c r="K509" i="6"/>
  <c r="J509" i="6"/>
  <c r="I509" i="6"/>
  <c r="H509" i="6"/>
  <c r="G509" i="6"/>
  <c r="F509" i="6"/>
  <c r="E509" i="6"/>
  <c r="J66" i="5"/>
  <c r="K66" i="5"/>
  <c r="L66" i="5"/>
  <c r="N66" i="5"/>
  <c r="O66" i="5"/>
  <c r="I66" i="5"/>
  <c r="J698" i="6"/>
  <c r="U102" i="5"/>
  <c r="I632" i="6"/>
  <c r="E765" i="6"/>
  <c r="F765" i="6"/>
  <c r="F632" i="6" s="1"/>
  <c r="F624" i="6" s="1"/>
  <c r="G765" i="6"/>
  <c r="H765" i="6"/>
  <c r="H632" i="6" s="1"/>
  <c r="H624" i="6" s="1"/>
  <c r="I765" i="6"/>
  <c r="E767" i="6"/>
  <c r="F767" i="6"/>
  <c r="F633" i="6" s="1"/>
  <c r="G767" i="6"/>
  <c r="G633" i="6" s="1"/>
  <c r="H767" i="6"/>
  <c r="H633" i="6" s="1"/>
  <c r="I767" i="6"/>
  <c r="K767" i="6"/>
  <c r="K626" i="6" s="1"/>
  <c r="K769" i="6"/>
  <c r="I776" i="6"/>
  <c r="I769" i="6" s="1"/>
  <c r="H776" i="6"/>
  <c r="H769" i="6" s="1"/>
  <c r="G776" i="6"/>
  <c r="G769" i="6" s="1"/>
  <c r="F776" i="6"/>
  <c r="F769" i="6" s="1"/>
  <c r="E776" i="6"/>
  <c r="K771" i="6"/>
  <c r="K770" i="6" s="1"/>
  <c r="J771" i="6"/>
  <c r="J770" i="6" s="1"/>
  <c r="I771" i="6"/>
  <c r="I764" i="6" s="1"/>
  <c r="H771" i="6"/>
  <c r="G771" i="6"/>
  <c r="F771" i="6"/>
  <c r="F764" i="6" s="1"/>
  <c r="E771" i="6"/>
  <c r="K236" i="6"/>
  <c r="J236" i="6"/>
  <c r="I236" i="6"/>
  <c r="H236" i="6"/>
  <c r="G236" i="6"/>
  <c r="F236" i="6"/>
  <c r="E236" i="6"/>
  <c r="I488" i="6"/>
  <c r="E488" i="6"/>
  <c r="F488" i="6"/>
  <c r="G488" i="6"/>
  <c r="H488" i="6"/>
  <c r="K488" i="6"/>
  <c r="E490" i="6"/>
  <c r="F490" i="6"/>
  <c r="G490" i="6"/>
  <c r="H490" i="6"/>
  <c r="J490" i="6"/>
  <c r="K490" i="6"/>
  <c r="F487" i="6"/>
  <c r="G487" i="6"/>
  <c r="H487" i="6"/>
  <c r="I487" i="6"/>
  <c r="J487" i="6"/>
  <c r="K487" i="6"/>
  <c r="E487" i="6"/>
  <c r="K504" i="6"/>
  <c r="J504" i="6"/>
  <c r="H504" i="6"/>
  <c r="G504" i="6"/>
  <c r="F504" i="6"/>
  <c r="E504" i="6"/>
  <c r="K231" i="6"/>
  <c r="J231" i="6"/>
  <c r="I231" i="6"/>
  <c r="H231" i="6"/>
  <c r="G231" i="6"/>
  <c r="F231" i="6"/>
  <c r="E231" i="6"/>
  <c r="E439" i="6"/>
  <c r="H572" i="6"/>
  <c r="H567" i="6" s="1"/>
  <c r="F438" i="6"/>
  <c r="G438" i="6"/>
  <c r="H438" i="6"/>
  <c r="I437" i="6"/>
  <c r="I439" i="6"/>
  <c r="I440" i="6"/>
  <c r="K438" i="6"/>
  <c r="E438" i="6"/>
  <c r="F439" i="6"/>
  <c r="G439" i="6"/>
  <c r="H439" i="6"/>
  <c r="J439" i="6"/>
  <c r="K681" i="6"/>
  <c r="J681" i="6"/>
  <c r="H681" i="6"/>
  <c r="G681" i="6"/>
  <c r="F681" i="6"/>
  <c r="E681" i="6"/>
  <c r="K666" i="6"/>
  <c r="I666" i="6"/>
  <c r="H666" i="6"/>
  <c r="G666" i="6"/>
  <c r="F666" i="6"/>
  <c r="E666" i="6"/>
  <c r="E671" i="6"/>
  <c r="F671" i="6"/>
  <c r="G671" i="6"/>
  <c r="H671" i="6"/>
  <c r="I671" i="6"/>
  <c r="K646" i="6"/>
  <c r="J646" i="6"/>
  <c r="I646" i="6"/>
  <c r="H646" i="6"/>
  <c r="G646" i="6"/>
  <c r="F646" i="6"/>
  <c r="E646" i="6"/>
  <c r="K456" i="6"/>
  <c r="J456" i="6"/>
  <c r="H456" i="6"/>
  <c r="G456" i="6"/>
  <c r="F456" i="6"/>
  <c r="E456" i="6"/>
  <c r="K446" i="6"/>
  <c r="I446" i="6"/>
  <c r="H446" i="6"/>
  <c r="G446" i="6"/>
  <c r="F446" i="6"/>
  <c r="E446" i="6"/>
  <c r="L83" i="5"/>
  <c r="L79" i="5" s="1"/>
  <c r="G61" i="6"/>
  <c r="H61" i="6"/>
  <c r="I61" i="6"/>
  <c r="Q61" i="6" s="1"/>
  <c r="J61" i="6"/>
  <c r="K61" i="6"/>
  <c r="F61" i="6"/>
  <c r="I572" i="6"/>
  <c r="I56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29" i="6"/>
  <c r="K629" i="6"/>
  <c r="K623" i="6"/>
  <c r="K631" i="6"/>
  <c r="K630" i="6" s="1"/>
  <c r="J804" i="6"/>
  <c r="K804" i="6"/>
  <c r="J806" i="6"/>
  <c r="K806" i="6"/>
  <c r="K803" i="6"/>
  <c r="K810" i="6"/>
  <c r="K807" i="6" s="1"/>
  <c r="K812" i="6"/>
  <c r="K698" i="6"/>
  <c r="K692" i="6"/>
  <c r="K686" i="6"/>
  <c r="K676" i="6"/>
  <c r="K671" i="6"/>
  <c r="K661" i="6"/>
  <c r="K656" i="6"/>
  <c r="K651" i="6"/>
  <c r="K641" i="6"/>
  <c r="K593" i="6"/>
  <c r="K607" i="6"/>
  <c r="K601" i="6"/>
  <c r="K565" i="6"/>
  <c r="K572" i="6"/>
  <c r="K567" i="6" s="1"/>
  <c r="K17" i="6" s="1"/>
  <c r="K571" i="6"/>
  <c r="K566" i="6" s="1"/>
  <c r="K570" i="6"/>
  <c r="K569" i="6"/>
  <c r="K564" i="6" s="1"/>
  <c r="K573" i="6"/>
  <c r="J572" i="6"/>
  <c r="J567" i="6" s="1"/>
  <c r="J17" i="6" s="1"/>
  <c r="K578" i="6"/>
  <c r="K589" i="6"/>
  <c r="K184" i="6"/>
  <c r="K499" i="6"/>
  <c r="K492" i="6"/>
  <c r="K466" i="6"/>
  <c r="K461" i="6"/>
  <c r="K451" i="6"/>
  <c r="K437" i="6"/>
  <c r="K440" i="6"/>
  <c r="K44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70" i="6"/>
  <c r="G570" i="6"/>
  <c r="G569" i="6"/>
  <c r="G564" i="6" s="1"/>
  <c r="G571" i="6"/>
  <c r="G566" i="6" s="1"/>
  <c r="G572" i="6"/>
  <c r="G567" i="6" s="1"/>
  <c r="G17" i="6" s="1"/>
  <c r="H570" i="6"/>
  <c r="I570" i="6"/>
  <c r="J570" i="6"/>
  <c r="E570" i="6"/>
  <c r="E565" i="6" s="1"/>
  <c r="F571" i="6"/>
  <c r="F566" i="6" s="1"/>
  <c r="H571" i="6"/>
  <c r="H566" i="6" s="1"/>
  <c r="J571" i="6"/>
  <c r="J566" i="6" s="1"/>
  <c r="J569" i="6"/>
  <c r="J564" i="6" s="1"/>
  <c r="E571" i="6"/>
  <c r="E56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72" i="6"/>
  <c r="F567" i="6" s="1"/>
  <c r="F17" i="6" s="1"/>
  <c r="E572" i="6"/>
  <c r="E567" i="6" s="1"/>
  <c r="E17" i="6" s="1"/>
  <c r="F569" i="6"/>
  <c r="F564" i="6" s="1"/>
  <c r="H569" i="6"/>
  <c r="H564" i="6" s="1"/>
  <c r="I569" i="6"/>
  <c r="I564" i="6" s="1"/>
  <c r="E569" i="6"/>
  <c r="E564" i="6" s="1"/>
  <c r="H184" i="6"/>
  <c r="J810" i="6"/>
  <c r="J80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698" i="6"/>
  <c r="G698" i="6"/>
  <c r="E698" i="6"/>
  <c r="H698" i="6"/>
  <c r="I698" i="6"/>
  <c r="G38" i="6"/>
  <c r="H692" i="6"/>
  <c r="I692" i="6"/>
  <c r="J692" i="6"/>
  <c r="F692" i="6"/>
  <c r="G692" i="6"/>
  <c r="J466" i="6"/>
  <c r="I466" i="6"/>
  <c r="H466" i="6"/>
  <c r="G466" i="6"/>
  <c r="F466" i="6"/>
  <c r="E466" i="6"/>
  <c r="E129" i="6"/>
  <c r="I35" i="6"/>
  <c r="J75" i="5"/>
  <c r="K75" i="5"/>
  <c r="L75" i="5"/>
  <c r="N75" i="5"/>
  <c r="I75" i="5"/>
  <c r="H810" i="6"/>
  <c r="H807" i="6" s="1"/>
  <c r="H805" i="6" s="1"/>
  <c r="G810" i="6"/>
  <c r="G807" i="6" s="1"/>
  <c r="G805" i="6" s="1"/>
  <c r="G651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23" i="6" s="1"/>
  <c r="E32" i="6"/>
  <c r="E22" i="6" s="1"/>
  <c r="E810" i="6"/>
  <c r="E805" i="6" s="1"/>
  <c r="F810" i="6"/>
  <c r="F805" i="6" s="1"/>
  <c r="F178" i="6"/>
  <c r="G178" i="6"/>
  <c r="H178" i="6"/>
  <c r="I178" i="6"/>
  <c r="J178" i="6"/>
  <c r="E178" i="6"/>
  <c r="E182" i="6"/>
  <c r="E35" i="6" s="1"/>
  <c r="E437" i="6"/>
  <c r="F437" i="6"/>
  <c r="G437" i="6"/>
  <c r="H437" i="6"/>
  <c r="J437" i="6"/>
  <c r="E440" i="6"/>
  <c r="F440" i="6"/>
  <c r="G440" i="6"/>
  <c r="H440" i="6"/>
  <c r="J440" i="6"/>
  <c r="E441" i="6"/>
  <c r="F441" i="6"/>
  <c r="G441" i="6"/>
  <c r="H441" i="6"/>
  <c r="I441" i="6"/>
  <c r="J441" i="6"/>
  <c r="E131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56" i="6"/>
  <c r="F656" i="6"/>
  <c r="G656" i="6"/>
  <c r="H656" i="6"/>
  <c r="I656" i="6"/>
  <c r="J656" i="6"/>
  <c r="E651" i="6"/>
  <c r="F651" i="6"/>
  <c r="D640" i="6"/>
  <c r="J636" i="6"/>
  <c r="H636" i="6"/>
  <c r="G636" i="6"/>
  <c r="F636" i="6"/>
  <c r="E636" i="6"/>
  <c r="J812" i="6"/>
  <c r="H812" i="6"/>
  <c r="G812" i="6"/>
  <c r="F812" i="6"/>
  <c r="E812" i="6"/>
  <c r="E461" i="6"/>
  <c r="F461" i="6"/>
  <c r="G461" i="6"/>
  <c r="H461" i="6"/>
  <c r="I461" i="6"/>
  <c r="J461" i="6"/>
  <c r="G593" i="6"/>
  <c r="G589" i="6"/>
  <c r="J589" i="6"/>
  <c r="H589" i="6"/>
  <c r="F589" i="6"/>
  <c r="E593" i="6"/>
  <c r="D639" i="6"/>
  <c r="I636" i="6"/>
  <c r="J80" i="5"/>
  <c r="J11" i="5" s="1"/>
  <c r="F635" i="6"/>
  <c r="G635" i="6"/>
  <c r="H635" i="6"/>
  <c r="I635" i="6"/>
  <c r="E635" i="6"/>
  <c r="F631" i="6"/>
  <c r="G631" i="6"/>
  <c r="H631" i="6"/>
  <c r="I631" i="6"/>
  <c r="J631" i="6"/>
  <c r="E63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71" i="6"/>
  <c r="E695" i="6"/>
  <c r="D69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01" i="6"/>
  <c r="F601" i="6"/>
  <c r="G601" i="6"/>
  <c r="H601" i="6"/>
  <c r="I601" i="6"/>
  <c r="J601" i="6"/>
  <c r="E607" i="6"/>
  <c r="F607" i="6"/>
  <c r="G607" i="6"/>
  <c r="H607" i="6"/>
  <c r="I607" i="6"/>
  <c r="J607" i="6"/>
  <c r="F594" i="6"/>
  <c r="G594" i="6"/>
  <c r="H594" i="6"/>
  <c r="I594" i="6"/>
  <c r="J59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E686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E110" i="6"/>
  <c r="E106" i="6" s="1"/>
  <c r="J50" i="6"/>
  <c r="I50" i="6"/>
  <c r="H50" i="6"/>
  <c r="G50" i="6"/>
  <c r="F50" i="6"/>
  <c r="E50" i="6"/>
  <c r="F165" i="6"/>
  <c r="G165" i="6"/>
  <c r="H165" i="6"/>
  <c r="I165" i="6"/>
  <c r="J165" i="6"/>
  <c r="E165" i="6"/>
  <c r="F168" i="6"/>
  <c r="F34" i="6" s="1"/>
  <c r="G168" i="6"/>
  <c r="H168" i="6"/>
  <c r="H164" i="6" s="1"/>
  <c r="I168" i="6"/>
  <c r="I164" i="6" s="1"/>
  <c r="E168" i="6"/>
  <c r="E164" i="6" s="1"/>
  <c r="F138" i="6"/>
  <c r="G138" i="6"/>
  <c r="H138" i="6"/>
  <c r="I138" i="6"/>
  <c r="J138" i="6"/>
  <c r="E138" i="6"/>
  <c r="E141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E95" i="6"/>
  <c r="J94" i="6"/>
  <c r="I94" i="6"/>
  <c r="H94" i="6"/>
  <c r="G94" i="6"/>
  <c r="F94" i="6"/>
  <c r="E88" i="6"/>
  <c r="E107" i="6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E89" i="6"/>
  <c r="J87" i="6"/>
  <c r="I87" i="6"/>
  <c r="H87" i="6"/>
  <c r="G87" i="6"/>
  <c r="F87" i="6"/>
  <c r="E82" i="6"/>
  <c r="J81" i="6"/>
  <c r="I81" i="6"/>
  <c r="H81" i="6"/>
  <c r="G81" i="6"/>
  <c r="F81" i="6"/>
  <c r="E75" i="6"/>
  <c r="J74" i="6"/>
  <c r="I74" i="6"/>
  <c r="H74" i="6"/>
  <c r="G74" i="6"/>
  <c r="F74" i="6"/>
  <c r="J56" i="6"/>
  <c r="I56" i="6"/>
  <c r="H56" i="6"/>
  <c r="G56" i="6"/>
  <c r="F56" i="6"/>
  <c r="E56" i="6"/>
  <c r="E69" i="6"/>
  <c r="G68" i="6"/>
  <c r="H68" i="6"/>
  <c r="I68" i="6"/>
  <c r="J68" i="6"/>
  <c r="F68" i="6"/>
  <c r="J100" i="6"/>
  <c r="I100" i="6"/>
  <c r="H100" i="6"/>
  <c r="G100" i="6"/>
  <c r="F100" i="6"/>
  <c r="E100" i="6"/>
  <c r="H803" i="6"/>
  <c r="H804" i="6"/>
  <c r="H806" i="6"/>
  <c r="G803" i="6"/>
  <c r="G804" i="6"/>
  <c r="G806" i="6"/>
  <c r="E807" i="6"/>
  <c r="I806" i="6"/>
  <c r="E806" i="6"/>
  <c r="F806" i="6"/>
  <c r="F803" i="6"/>
  <c r="F804" i="6"/>
  <c r="I804" i="6"/>
  <c r="E804" i="6"/>
  <c r="J803" i="6"/>
  <c r="I803" i="6"/>
  <c r="E803" i="6"/>
  <c r="G686" i="6"/>
  <c r="F686" i="6"/>
  <c r="E676" i="6"/>
  <c r="G661" i="6"/>
  <c r="E661" i="6"/>
  <c r="F661" i="6"/>
  <c r="H661" i="6"/>
  <c r="I661" i="6"/>
  <c r="J661" i="6"/>
  <c r="J641" i="6"/>
  <c r="G641" i="6"/>
  <c r="F641" i="6"/>
  <c r="E641" i="6"/>
  <c r="I629" i="6"/>
  <c r="G629" i="6"/>
  <c r="F629" i="6"/>
  <c r="E629" i="6"/>
  <c r="J623" i="6"/>
  <c r="H623" i="6"/>
  <c r="G623" i="6"/>
  <c r="F623" i="6"/>
  <c r="J578" i="6"/>
  <c r="I578" i="6"/>
  <c r="H578" i="6"/>
  <c r="G578" i="6"/>
  <c r="F578" i="6"/>
  <c r="E578" i="6"/>
  <c r="J573" i="6"/>
  <c r="I573" i="6"/>
  <c r="H573" i="6"/>
  <c r="G573" i="6"/>
  <c r="F573" i="6"/>
  <c r="E573" i="6"/>
  <c r="J565" i="6"/>
  <c r="I565" i="6"/>
  <c r="H565" i="6"/>
  <c r="G565" i="6"/>
  <c r="F565" i="6"/>
  <c r="J499" i="6"/>
  <c r="H499" i="6"/>
  <c r="G499" i="6"/>
  <c r="F499" i="6"/>
  <c r="E499" i="6"/>
  <c r="J492" i="6"/>
  <c r="I492" i="6"/>
  <c r="H492" i="6"/>
  <c r="G492" i="6"/>
  <c r="F492" i="6"/>
  <c r="E492" i="6"/>
  <c r="J451" i="6"/>
  <c r="I451" i="6"/>
  <c r="H451" i="6"/>
  <c r="G451" i="6"/>
  <c r="F451" i="6"/>
  <c r="E451" i="6"/>
  <c r="J113" i="5"/>
  <c r="K113" i="5"/>
  <c r="E595" i="6"/>
  <c r="G632" i="6"/>
  <c r="G624" i="6" s="1"/>
  <c r="E632" i="6"/>
  <c r="E624" i="6" s="1"/>
  <c r="J164" i="6"/>
  <c r="G676" i="6"/>
  <c r="H686" i="6"/>
  <c r="H641" i="6"/>
  <c r="F676" i="6"/>
  <c r="M113" i="5"/>
  <c r="F38" i="6"/>
  <c r="E38" i="6"/>
  <c r="H38" i="6"/>
  <c r="L113" i="5"/>
  <c r="I38" i="6"/>
  <c r="I686" i="6"/>
  <c r="J686" i="6"/>
  <c r="H676" i="6"/>
  <c r="I158" i="6"/>
  <c r="J35" i="6"/>
  <c r="J38" i="6"/>
  <c r="H651" i="6"/>
  <c r="I651" i="6"/>
  <c r="J676" i="6"/>
  <c r="J651" i="6"/>
  <c r="O78" i="5"/>
  <c r="I504" i="6"/>
  <c r="H97" i="5"/>
  <c r="I79" i="5"/>
  <c r="L567" i="6"/>
  <c r="L17" i="6" s="1"/>
  <c r="L805" i="6"/>
  <c r="K90" i="5"/>
  <c r="G19" i="6"/>
  <c r="L114" i="5"/>
  <c r="L89" i="5"/>
  <c r="L171" i="6"/>
  <c r="N81" i="5"/>
  <c r="I89" i="5"/>
  <c r="D683" i="6"/>
  <c r="S15" i="5"/>
  <c r="K778" i="6"/>
  <c r="K777" i="6" s="1"/>
  <c r="D786" i="6"/>
  <c r="G778" i="6"/>
  <c r="I777" i="6"/>
  <c r="I81" i="5"/>
  <c r="P79" i="5"/>
  <c r="M651" i="6"/>
  <c r="I80" i="5"/>
  <c r="I11" i="5" s="1"/>
  <c r="O77" i="5"/>
  <c r="R90" i="5"/>
  <c r="J764" i="6"/>
  <c r="O624" i="6"/>
  <c r="N568" i="6"/>
  <c r="S79" i="5"/>
  <c r="R118" i="5"/>
  <c r="S118" i="5" s="1"/>
  <c r="S113" i="5" s="1"/>
  <c r="Q115" i="5"/>
  <c r="R115" i="5" s="1"/>
  <c r="I571" i="6"/>
  <c r="I566" i="6" s="1"/>
  <c r="H68" i="5"/>
  <c r="M66" i="5"/>
  <c r="P666" i="6"/>
  <c r="D664" i="6"/>
  <c r="M115" i="5"/>
  <c r="M114" i="5" s="1"/>
  <c r="H19" i="6"/>
  <c r="H87" i="5"/>
  <c r="M84" i="5"/>
  <c r="M77" i="5" s="1"/>
  <c r="N651" i="6"/>
  <c r="O651" i="6"/>
  <c r="M805" i="6" l="1"/>
  <c r="D805" i="6" s="1"/>
  <c r="D810" i="6"/>
  <c r="M31" i="6"/>
  <c r="D31" i="6" s="1"/>
  <c r="D28" i="6" s="1"/>
  <c r="N21" i="6"/>
  <c r="N34" i="6"/>
  <c r="N24" i="6" s="1"/>
  <c r="L622" i="6"/>
  <c r="E13" i="6"/>
  <c r="L31" i="6"/>
  <c r="L28" i="6" s="1"/>
  <c r="M21" i="6"/>
  <c r="H612" i="6"/>
  <c r="J438" i="6"/>
  <c r="G612" i="6"/>
  <c r="D636" i="6"/>
  <c r="G595" i="6"/>
  <c r="I438" i="6"/>
  <c r="J763" i="6"/>
  <c r="M171" i="6"/>
  <c r="K764" i="6"/>
  <c r="K763" i="6" s="1"/>
  <c r="I782" i="6"/>
  <c r="G777" i="6"/>
  <c r="I641" i="6"/>
  <c r="F24" i="6"/>
  <c r="I25" i="6"/>
  <c r="I15" i="6" s="1"/>
  <c r="J446" i="6"/>
  <c r="I456" i="6"/>
  <c r="J666" i="6"/>
  <c r="D666" i="6" s="1"/>
  <c r="O509" i="6"/>
  <c r="K21" i="6"/>
  <c r="H84" i="5"/>
  <c r="L14" i="5"/>
  <c r="J14" i="5"/>
  <c r="Q83" i="5"/>
  <c r="Q116" i="5"/>
  <c r="R116" i="5" s="1"/>
  <c r="S116" i="5" s="1"/>
  <c r="H106" i="5"/>
  <c r="J778" i="6"/>
  <c r="J777" i="6" s="1"/>
  <c r="G782" i="6"/>
  <c r="R14" i="5"/>
  <c r="P77" i="5"/>
  <c r="O612" i="6"/>
  <c r="N595" i="6"/>
  <c r="I591" i="6"/>
  <c r="E87" i="6"/>
  <c r="M563" i="6"/>
  <c r="O807" i="6"/>
  <c r="O805" i="6"/>
  <c r="O14" i="6" s="1"/>
  <c r="H105" i="5"/>
  <c r="O89" i="5"/>
  <c r="S14" i="5"/>
  <c r="S13" i="5" s="1"/>
  <c r="H46" i="5"/>
  <c r="E777" i="6"/>
  <c r="H770" i="6"/>
  <c r="E137" i="6"/>
  <c r="N14" i="5"/>
  <c r="J89" i="5"/>
  <c r="N77" i="5"/>
  <c r="K77" i="5"/>
  <c r="J81" i="5"/>
  <c r="Q113" i="5"/>
  <c r="H48" i="5"/>
  <c r="H119" i="5"/>
  <c r="D686" i="6"/>
  <c r="E31" i="6"/>
  <c r="D656" i="6"/>
  <c r="O88" i="5"/>
  <c r="L77" i="5"/>
  <c r="K14" i="5"/>
  <c r="D646" i="6"/>
  <c r="K486" i="6"/>
  <c r="H66" i="5"/>
  <c r="J114" i="5"/>
  <c r="N486" i="6"/>
  <c r="Q114" i="5"/>
  <c r="O114" i="5"/>
  <c r="F770" i="6"/>
  <c r="I624" i="6"/>
  <c r="Q90" i="5"/>
  <c r="V94" i="5"/>
  <c r="M80" i="5"/>
  <c r="M11" i="5" s="1"/>
  <c r="H92" i="5"/>
  <c r="D635" i="6"/>
  <c r="I114" i="5"/>
  <c r="Q14" i="5"/>
  <c r="D781" i="6"/>
  <c r="F777" i="6"/>
  <c r="I88" i="5"/>
  <c r="H83" i="5"/>
  <c r="L630" i="6"/>
  <c r="N630" i="6"/>
  <c r="M91" i="5"/>
  <c r="M90" i="5" s="1"/>
  <c r="H117" i="5"/>
  <c r="I489" i="6"/>
  <c r="K81" i="5"/>
  <c r="J78" i="5"/>
  <c r="I812" i="6"/>
  <c r="F436" i="6"/>
  <c r="J79" i="5"/>
  <c r="M75" i="5"/>
  <c r="H75" i="5" s="1"/>
  <c r="K25" i="6"/>
  <c r="I77" i="5"/>
  <c r="S81" i="5"/>
  <c r="M807" i="6"/>
  <c r="D807" i="6" s="1"/>
  <c r="M25" i="6"/>
  <c r="M15" i="6" s="1"/>
  <c r="S77" i="5"/>
  <c r="M89" i="5"/>
  <c r="D676" i="6"/>
  <c r="J15" i="5"/>
  <c r="J13" i="5" s="1"/>
  <c r="N16" i="5"/>
  <c r="N90" i="5"/>
  <c r="O591" i="6"/>
  <c r="F782" i="6"/>
  <c r="D631" i="6"/>
  <c r="Q89" i="5"/>
  <c r="Q88" i="5" s="1"/>
  <c r="I15" i="5"/>
  <c r="I12" i="5" s="1"/>
  <c r="J632" i="6"/>
  <c r="J624" i="6" s="1"/>
  <c r="D624" i="6" s="1"/>
  <c r="D776" i="6"/>
  <c r="D765" i="6"/>
  <c r="S12" i="5"/>
  <c r="R77" i="5"/>
  <c r="F763" i="6"/>
  <c r="J31" i="6"/>
  <c r="M74" i="5"/>
  <c r="M73" i="5" s="1"/>
  <c r="H73" i="5" s="1"/>
  <c r="D671" i="6"/>
  <c r="L88" i="5"/>
  <c r="H94" i="5"/>
  <c r="N563" i="6"/>
  <c r="Q77" i="5"/>
  <c r="L12" i="5"/>
  <c r="Q15" i="5"/>
  <c r="J44" i="6"/>
  <c r="J34" i="6"/>
  <c r="I568" i="6"/>
  <c r="H82" i="5"/>
  <c r="E94" i="6"/>
  <c r="G31" i="6"/>
  <c r="P114" i="5"/>
  <c r="G59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69" i="6"/>
  <c r="D769" i="6" s="1"/>
  <c r="P89" i="5"/>
  <c r="I763" i="6"/>
  <c r="N113" i="5"/>
  <c r="H113" i="5" s="1"/>
  <c r="H34" i="6"/>
  <c r="I78" i="5"/>
  <c r="I10" i="5" s="1"/>
  <c r="E764" i="6"/>
  <c r="E770" i="6"/>
  <c r="U110" i="5"/>
  <c r="P90" i="5"/>
  <c r="D679" i="6"/>
  <c r="H40" i="5"/>
  <c r="K15" i="5"/>
  <c r="K12" i="5" s="1"/>
  <c r="E782" i="6"/>
  <c r="O15" i="5"/>
  <c r="O12" i="5" s="1"/>
  <c r="J529" i="6"/>
  <c r="J527" i="6"/>
  <c r="J524" i="6" s="1"/>
  <c r="K88" i="5"/>
  <c r="G164" i="6"/>
  <c r="G34" i="6"/>
  <c r="I13" i="5"/>
  <c r="H118" i="5"/>
  <c r="I9" i="5"/>
  <c r="M14" i="5"/>
  <c r="H91" i="5"/>
  <c r="H61" i="5"/>
  <c r="R81" i="5"/>
  <c r="O81" i="5"/>
  <c r="E802" i="6"/>
  <c r="F31" i="6"/>
  <c r="F28" i="6" s="1"/>
  <c r="J77" i="5"/>
  <c r="K114" i="5"/>
  <c r="K10" i="5" s="1"/>
  <c r="K9" i="5" s="1"/>
  <c r="H93" i="5"/>
  <c r="L81" i="5"/>
  <c r="G764" i="6"/>
  <c r="G770" i="6"/>
  <c r="L25" i="6"/>
  <c r="S88" i="5"/>
  <c r="M612" i="6"/>
  <c r="H595" i="6"/>
  <c r="H782" i="6"/>
  <c r="N436" i="6"/>
  <c r="R89" i="5"/>
  <c r="R88" i="5" s="1"/>
  <c r="N114" i="5"/>
  <c r="M81" i="5"/>
  <c r="L568" i="6"/>
  <c r="O486" i="6"/>
  <c r="H31" i="6"/>
  <c r="H21" i="6" s="1"/>
  <c r="E568" i="6"/>
  <c r="L80" i="5"/>
  <c r="L11" i="5" s="1"/>
  <c r="P64" i="6"/>
  <c r="E29" i="6"/>
  <c r="E28" i="6" s="1"/>
  <c r="N89" i="5"/>
  <c r="H116" i="5"/>
  <c r="H25" i="6"/>
  <c r="O14" i="5"/>
  <c r="H17" i="5"/>
  <c r="I770" i="6"/>
  <c r="H18" i="5"/>
  <c r="R15" i="5"/>
  <c r="R13" i="5" s="1"/>
  <c r="I34" i="6"/>
  <c r="P15" i="5"/>
  <c r="P12" i="5" s="1"/>
  <c r="E592" i="6"/>
  <c r="H778" i="6"/>
  <c r="H777" i="6" s="1"/>
  <c r="I633" i="6"/>
  <c r="N15" i="5"/>
  <c r="K612" i="6"/>
  <c r="K595" i="6"/>
  <c r="D767" i="6"/>
  <c r="J612" i="6"/>
  <c r="J595" i="6"/>
  <c r="J626" i="6"/>
  <c r="K544" i="6"/>
  <c r="M544" i="6"/>
  <c r="E25" i="6"/>
  <c r="E15" i="6" s="1"/>
  <c r="F486" i="6"/>
  <c r="K591" i="6"/>
  <c r="I595" i="6"/>
  <c r="O436" i="6"/>
  <c r="L486" i="6"/>
  <c r="F807" i="6"/>
  <c r="M590" i="6"/>
  <c r="M595" i="6"/>
  <c r="D595" i="6" s="1"/>
  <c r="N591" i="6"/>
  <c r="J563" i="6"/>
  <c r="O568" i="6"/>
  <c r="H436" i="6"/>
  <c r="N19" i="6"/>
  <c r="E128" i="6"/>
  <c r="J25" i="6"/>
  <c r="E74" i="6"/>
  <c r="N25" i="6"/>
  <c r="E524" i="6"/>
  <c r="L524" i="6"/>
  <c r="H524" i="6"/>
  <c r="G436" i="6"/>
  <c r="M486" i="6"/>
  <c r="M19" i="6"/>
  <c r="E291" i="6"/>
  <c r="D779" i="6"/>
  <c r="M802" i="6"/>
  <c r="D802" i="6" s="1"/>
  <c r="O802" i="6"/>
  <c r="N802" i="6"/>
  <c r="K624" i="6"/>
  <c r="K568" i="6"/>
  <c r="F568" i="6"/>
  <c r="H568" i="6"/>
  <c r="J24" i="6"/>
  <c r="F25" i="6"/>
  <c r="F15" i="6" s="1"/>
  <c r="G486" i="6"/>
  <c r="G563" i="6"/>
  <c r="M568" i="6"/>
  <c r="J21" i="6"/>
  <c r="J486" i="6"/>
  <c r="O595" i="6"/>
  <c r="I612" i="6"/>
  <c r="F595" i="6"/>
  <c r="I589" i="6"/>
  <c r="I590" i="6"/>
  <c r="O590" i="6"/>
  <c r="J592" i="6"/>
  <c r="G590" i="6"/>
  <c r="F612" i="6"/>
  <c r="E612" i="6"/>
  <c r="L590" i="6"/>
  <c r="N171" i="6"/>
  <c r="E68" i="6"/>
  <c r="O25" i="6"/>
  <c r="J807" i="6"/>
  <c r="L802" i="6"/>
  <c r="D771" i="6"/>
  <c r="D780" i="6"/>
  <c r="I592" i="6"/>
  <c r="F590" i="6"/>
  <c r="F9" i="6" s="1"/>
  <c r="H592" i="6"/>
  <c r="N590" i="6"/>
  <c r="K592" i="6"/>
  <c r="O563" i="6"/>
  <c r="G568" i="6"/>
  <c r="L436" i="6"/>
  <c r="H626" i="6"/>
  <c r="H622" i="6" s="1"/>
  <c r="H630" i="6"/>
  <c r="D651" i="6"/>
  <c r="D641" i="6"/>
  <c r="E81" i="6"/>
  <c r="E144" i="6"/>
  <c r="I563" i="6"/>
  <c r="K563" i="6"/>
  <c r="H764" i="6"/>
  <c r="H763" i="6" s="1"/>
  <c r="H486" i="6"/>
  <c r="G524" i="6"/>
  <c r="F544" i="6"/>
  <c r="J544" i="6"/>
  <c r="M591" i="6"/>
  <c r="E544" i="6"/>
  <c r="F802" i="6"/>
  <c r="E21" i="6"/>
  <c r="O524" i="6"/>
  <c r="L595" i="6"/>
  <c r="N622" i="6"/>
  <c r="G802" i="6"/>
  <c r="E692" i="6"/>
  <c r="D692" i="6" s="1"/>
  <c r="J436" i="6"/>
  <c r="E436" i="6"/>
  <c r="K436" i="6"/>
  <c r="D681" i="6"/>
  <c r="E486" i="6"/>
  <c r="I486" i="6"/>
  <c r="N807" i="6"/>
  <c r="D703" i="6"/>
  <c r="N524" i="6"/>
  <c r="I524" i="6"/>
  <c r="N544" i="6"/>
  <c r="G544" i="6"/>
  <c r="F591" i="6"/>
  <c r="L591" i="6"/>
  <c r="J802" i="6"/>
  <c r="K805" i="6"/>
  <c r="K802" i="6" s="1"/>
  <c r="H802" i="6"/>
  <c r="G626" i="6"/>
  <c r="G622" i="6" s="1"/>
  <c r="G630" i="6"/>
  <c r="F626" i="6"/>
  <c r="F622" i="6" s="1"/>
  <c r="F630" i="6"/>
  <c r="D661" i="6"/>
  <c r="E633" i="6"/>
  <c r="D698" i="6"/>
  <c r="O630" i="6"/>
  <c r="E590" i="6"/>
  <c r="F592" i="6"/>
  <c r="H591" i="6"/>
  <c r="G592" i="6"/>
  <c r="H590" i="6"/>
  <c r="E591" i="6"/>
  <c r="K590" i="6"/>
  <c r="H17" i="6"/>
  <c r="F563" i="6"/>
  <c r="E563" i="6"/>
  <c r="L563" i="6"/>
  <c r="J568" i="6"/>
  <c r="H563" i="6"/>
  <c r="H544" i="6"/>
  <c r="L544" i="6"/>
  <c r="G9" i="6"/>
  <c r="L19" i="6"/>
  <c r="J19" i="6"/>
  <c r="J9" i="6" s="1"/>
  <c r="K19" i="6"/>
  <c r="I436" i="6"/>
  <c r="M24" i="6"/>
  <c r="M14" i="6" s="1"/>
  <c r="M8" i="6" s="1"/>
  <c r="O21" i="6"/>
  <c r="O11" i="6" s="1"/>
  <c r="O19" i="6"/>
  <c r="F524" i="6"/>
  <c r="M436" i="6"/>
  <c r="O544" i="6"/>
  <c r="F10" i="6"/>
  <c r="D10" i="6" s="1"/>
  <c r="E12" i="6"/>
  <c r="O28" i="6"/>
  <c r="K524" i="6"/>
  <c r="O622" i="6"/>
  <c r="I802" i="6"/>
  <c r="J12" i="5"/>
  <c r="E61" i="6"/>
  <c r="H54" i="5"/>
  <c r="P81" i="5"/>
  <c r="D783" i="6"/>
  <c r="M16" i="5"/>
  <c r="I19" i="6"/>
  <c r="D24" i="6" l="1"/>
  <c r="J11" i="6"/>
  <c r="J622" i="6"/>
  <c r="J630" i="6"/>
  <c r="D632" i="6"/>
  <c r="L9" i="6"/>
  <c r="I21" i="6"/>
  <c r="I11" i="6" s="1"/>
  <c r="N588" i="6"/>
  <c r="F21" i="6"/>
  <c r="F18" i="6" s="1"/>
  <c r="Q79" i="5"/>
  <c r="H79" i="5" s="1"/>
  <c r="Q81" i="5"/>
  <c r="E24" i="6"/>
  <c r="K14" i="6"/>
  <c r="K622" i="6"/>
  <c r="K11" i="6"/>
  <c r="L21" i="6"/>
  <c r="L11" i="6" s="1"/>
  <c r="O9" i="6"/>
  <c r="O8" i="6" s="1"/>
  <c r="I24" i="6"/>
  <c r="L9" i="5"/>
  <c r="H77" i="5"/>
  <c r="Q13" i="5"/>
  <c r="D777" i="6"/>
  <c r="D778" i="6"/>
  <c r="H115" i="5"/>
  <c r="J28" i="6"/>
  <c r="G28" i="6"/>
  <c r="U11" i="5"/>
  <c r="M9" i="6"/>
  <c r="H114" i="5"/>
  <c r="J10" i="5"/>
  <c r="P10" i="5"/>
  <c r="G588" i="6"/>
  <c r="H80" i="5"/>
  <c r="N88" i="5"/>
  <c r="K13" i="5"/>
  <c r="H14" i="5"/>
  <c r="P13" i="5"/>
  <c r="E763" i="6"/>
  <c r="H74" i="5"/>
  <c r="H78" i="5"/>
  <c r="S9" i="5"/>
  <c r="H11" i="5"/>
  <c r="P9" i="5"/>
  <c r="N11" i="6"/>
  <c r="O588" i="6"/>
  <c r="D764" i="6"/>
  <c r="D770" i="6"/>
  <c r="H90" i="5"/>
  <c r="G763" i="6"/>
  <c r="N28" i="6"/>
  <c r="R12" i="5"/>
  <c r="R9" i="5" s="1"/>
  <c r="H81" i="5"/>
  <c r="P88" i="5"/>
  <c r="H88" i="5" s="1"/>
  <c r="G24" i="6"/>
  <c r="G14" i="6" s="1"/>
  <c r="I630" i="6"/>
  <c r="I626" i="6"/>
  <c r="I622" i="6" s="1"/>
  <c r="M10" i="5"/>
  <c r="D782" i="6"/>
  <c r="K588" i="6"/>
  <c r="I28" i="6"/>
  <c r="N12" i="5"/>
  <c r="O13" i="5"/>
  <c r="N10" i="5"/>
  <c r="H89" i="5"/>
  <c r="O10" i="5"/>
  <c r="O9" i="5" s="1"/>
  <c r="N13" i="5"/>
  <c r="H11" i="6"/>
  <c r="M588" i="6"/>
  <c r="D588" i="6" s="1"/>
  <c r="J14" i="6"/>
  <c r="J8" i="6" s="1"/>
  <c r="G21" i="6"/>
  <c r="E19" i="6"/>
  <c r="P802" i="6"/>
  <c r="I588" i="6"/>
  <c r="N9" i="6"/>
  <c r="L588" i="6"/>
  <c r="E594" i="6"/>
  <c r="E11" i="6"/>
  <c r="L24" i="6"/>
  <c r="L14" i="6" s="1"/>
  <c r="N18" i="6"/>
  <c r="J588" i="6"/>
  <c r="N14" i="6"/>
  <c r="M28" i="6"/>
  <c r="E626" i="6"/>
  <c r="E630" i="6"/>
  <c r="D633" i="6"/>
  <c r="F14" i="6"/>
  <c r="F588" i="6"/>
  <c r="K9" i="6"/>
  <c r="H588" i="6"/>
  <c r="H9" i="6"/>
  <c r="K18" i="6"/>
  <c r="J18" i="6"/>
  <c r="O18" i="6"/>
  <c r="M15" i="5"/>
  <c r="H16" i="5"/>
  <c r="J9" i="5"/>
  <c r="I9" i="6"/>
  <c r="H24" i="6"/>
  <c r="H28" i="6"/>
  <c r="H10" i="5"/>
  <c r="D14" i="6" l="1"/>
  <c r="I18" i="6"/>
  <c r="E14" i="6"/>
  <c r="F11" i="6"/>
  <c r="D11" i="6" s="1"/>
  <c r="E18" i="6"/>
  <c r="Q12" i="5"/>
  <c r="Q9" i="5" s="1"/>
  <c r="K8" i="6"/>
  <c r="L8" i="6"/>
  <c r="I14" i="6"/>
  <c r="I8" i="6" s="1"/>
  <c r="D763" i="6"/>
  <c r="L18" i="6"/>
  <c r="N9" i="5"/>
  <c r="D630" i="6"/>
  <c r="E9" i="6"/>
  <c r="G18" i="6"/>
  <c r="G11" i="6"/>
  <c r="G8" i="6" s="1"/>
  <c r="N8" i="6"/>
  <c r="F8" i="6"/>
  <c r="E588" i="6"/>
  <c r="M18" i="6"/>
  <c r="E622" i="6"/>
  <c r="D622" i="6" s="1"/>
  <c r="H15" i="5"/>
  <c r="M12" i="5"/>
  <c r="M13" i="5"/>
  <c r="H13" i="5" s="1"/>
  <c r="H14" i="6"/>
  <c r="H8" i="6" s="1"/>
  <c r="H18" i="6"/>
  <c r="D18" i="6" l="1"/>
  <c r="Y8" i="6"/>
  <c r="E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77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7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7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7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<sst xmlns="http://schemas.openxmlformats.org/spreadsheetml/2006/main" count="1746" uniqueCount="478">
  <si>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</si>
  <si>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</si>
  <si>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</si>
  <si>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</si>
  <si>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</si>
  <si>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</si>
  <si>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</si>
  <si>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</si>
  <si>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</si>
  <si>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</si>
  <si>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</si>
  <si>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</si>
  <si>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</si>
  <si>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</si>
  <si>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</si>
  <si>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</si>
  <si>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</si>
  <si>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</si>
  <si>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</si>
  <si>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</si>
  <si>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</si>
  <si>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</si>
  <si>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</si>
  <si>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</si>
  <si>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</si>
  <si>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</si>
  <si>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</si>
  <si>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</si>
  <si>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</si>
  <si>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</si>
  <si>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</si>
  <si>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</si>
  <si>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</si>
  <si>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</si>
  <si>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</si>
  <si>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</si>
  <si>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</si>
  <si>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</si>
  <si>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</si>
  <si>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</si>
  <si>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</si>
  <si>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</si>
  <si>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</si>
  <si>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</si>
  <si>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</si>
  <si>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</si>
  <si>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</si>
  <si>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</si>
  <si>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</si>
  <si>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</si>
  <si>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</si>
  <si>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</si>
  <si>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</si>
  <si>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</si>
  <si>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</si>
  <si>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</si>
  <si>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</si>
  <si>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</si>
  <si>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</si>
  <si>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</si>
  <si>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</si>
  <si>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</si>
  <si>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</si>
  <si>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</si>
  <si>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</si>
  <si>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</si>
  <si>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</si>
  <si>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</si>
  <si>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</si>
  <si>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</si>
  <si>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</si>
  <si>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</si>
  <si>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</si>
  <si>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</si>
  <si>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</si>
  <si>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</si>
  <si>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</si>
  <si>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</si>
  <si>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</si>
  <si>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</si>
  <si>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</si>
  <si>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</si>
  <si>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</si>
  <si>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</si>
  <si>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</si>
  <si>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</si>
  <si>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</si>
  <si>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</si>
  <si>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</si>
  <si>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</si>
  <si>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</si>
  <si>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</si>
  <si>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</si>
  <si>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</si>
  <si>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</si>
  <si>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</si>
  <si>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</si>
  <si>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</si>
  <si>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</si>
  <si>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</si>
  <si>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</si>
  <si>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</si>
  <si>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</si>
  <si>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</si>
  <si>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</si>
  <si>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</si>
  <si>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</si>
  <si>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</si>
  <si>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</si>
  <si>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</si>
  <si>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</si>
  <si>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</si>
  <si>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</si>
  <si>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</si>
  <si>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</si>
  <si>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</si>
  <si>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</si>
  <si>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</si>
  <si>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</si>
  <si>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</si>
  <si>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</si>
  <si>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</si>
  <si>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</si>
  <si>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</si>
  <si>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</si>
  <si>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</si>
  <si>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</si>
  <si>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</si>
  <si>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</si>
  <si>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</si>
  <si>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</si>
  <si>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</si>
  <si>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</si>
  <si>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</si>
  <si>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</si>
  <si>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</si>
  <si>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</si>
  <si>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</si>
  <si>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</si>
  <si>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</si>
  <si>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</si>
  <si>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</si>
  <si>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</si>
  <si>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</si>
  <si>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</si>
  <si>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</si>
  <si>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</si>
  <si>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</si>
  <si>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</si>
  <si>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</si>
  <si>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</si>
  <si>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</si>
  <si>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</si>
  <si>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</si>
  <si>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</si>
  <si>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</si>
  <si>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</si>
  <si>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</si>
  <si>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</si>
  <si>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</si>
  <si>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</si>
  <si>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</si>
  <si>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</si>
  <si>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</si>
  <si>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</si>
  <si>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</si>
  <si>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</si>
  <si>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</si>
  <si>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</si>
  <si>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</si>
  <si>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</si>
  <si>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</si>
  <si>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</si>
  <si>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</si>
  <si>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</si>
  <si>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</si>
  <si>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</si>
  <si>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</si>
  <si>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</si>
  <si>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</si>
  <si>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</si>
  <si>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</si>
  <si>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</si>
  <si>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</si>
  <si>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</si>
  <si>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</si>
  <si>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</si>
  <si>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</si>
  <si>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</si>
  <si>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</si>
  <si>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</si>
  <si>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</si>
  <si>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</si>
  <si>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</si>
  <si>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</si>
  <si>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</si>
  <si>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</si>
  <si>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</si>
  <si>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</si>
  <si>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</si>
  <si>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</si>
  <si>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</si>
  <si>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</si>
  <si>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</si>
  <si>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</si>
  <si>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</si>
  <si>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</si>
  <si>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</si>
  <si>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</si>
  <si>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</si>
  <si>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</si>
  <si>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</si>
  <si>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</si>
  <si>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</si>
  <si>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</si>
  <si>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</si>
  <si>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</si>
  <si>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</si>
  <si>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</si>
  <si>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</si>
  <si>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</si>
  <si>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</si>
  <si>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</si>
  <si>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</si>
  <si>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</si>
  <si>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</si>
  <si>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</si>
  <si>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</si>
  <si>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</si>
  <si>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</si>
  <si>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</si>
  <si>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</si>
  <si>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</si>
  <si>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</si>
  <si>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</si>
  <si>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</si>
  <si>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</si>
  <si>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</si>
  <si>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</si>
  <si>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</si>
  <si>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</si>
  <si>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</si>
  <si>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</si>
  <si>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</si>
  <si>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</si>
  <si>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</si>
  <si>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</si>
  <si>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</si>
  <si>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</si>
  <si>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</si>
  <si>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</si>
  <si>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</si>
  <si>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</si>
  <si>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</si>
  <si>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</si>
  <si>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</si>
  <si>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</si>
  <si>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</si>
  <si>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</si>
  <si>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</si>
  <si>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</si>
  <si>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</si>
  <si>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</si>
  <si>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</si>
  <si>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</si>
  <si>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</si>
  <si>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</si>
  <si>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</si>
  <si>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</si>
  <si>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</si>
  <si>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</si>
  <si>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</si>
  <si>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</si>
  <si>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</si>
  <si>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</si>
  <si>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</si>
  <si>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</si>
  <si>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</si>
  <si>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</si>
  <si>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</si>
  <si>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</si>
  <si>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</si>
  <si>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</si>
  <si>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</si>
  <si>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</si>
  <si>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</si>
  <si>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</si>
  <si>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</si>
  <si>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</si>
  <si>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</si>
  <si>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</si>
  <si>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</si>
  <si>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</si>
  <si>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</si>
  <si>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</si>
  <si>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</si>
  <si>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</si>
  <si>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</si>
  <si>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</si>
  <si>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</si>
  <si>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</si>
  <si>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</si>
  <si>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</si>
  <si>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</si>
  <si>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</si>
  <si>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</si>
  <si>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</si>
  <si>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</si>
  <si>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</si>
  <si>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</si>
  <si>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</si>
  <si>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</si>
  <si>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</si>
  <si>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</si>
  <si>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</si>
  <si>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</si>
  <si>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</si>
  <si>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</si>
  <si>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</si>
  <si>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</si>
  <si>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</si>
  <si>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</si>
  <si>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</si>
  <si>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</si>
  <si>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</si>
  <si>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</si>
  <si>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</si>
  <si>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</si>
  <si>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</si>
  <si>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</si>
  <si>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</si>
  <si>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</si>
  <si>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</si>
  <si>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</si>
  <si>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</si>
  <si>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</si>
  <si>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</si>
  <si>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</si>
  <si>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</si>
  <si>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</si>
  <si>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</si>
  <si>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</si>
  <si>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</si>
  <si>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</si>
  <si>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</si>
  <si>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</si>
  <si>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</si>
  <si>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</si>
  <si>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</si>
  <si>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</si>
  <si>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</si>
  <si>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</si>
  <si>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</si>
  <si>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</si>
  <si>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</si>
  <si>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</si>
  <si>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</si>
  <si>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</si>
  <si>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</si>
  <si>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</si>
  <si>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</si>
  <si>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</si>
  <si>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</si>
  <si>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</si>
  <si>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</si>
  <si>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</si>
  <si>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</si>
  <si>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</si>
  <si>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</si>
  <si>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</si>
  <si>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</si>
  <si>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</si>
  <si>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</si>
  <si>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</si>
  <si>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</si>
  <si>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</si>
  <si>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</si>
  <si>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</si>
  <si>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</si>
  <si>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</si>
  <si>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</si>
  <si>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</si>
  <si>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</si>
  <si>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</si>
  <si>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</si>
  <si>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</si>
  <si>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</si>
  <si>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</si>
  <si>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</si>
  <si>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</si>
  <si>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</si>
  <si>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</si>
  <si>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</si>
  <si>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</si>
  <si>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</si>
  <si>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</si>
  <si>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</si>
  <si>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</si>
  <si>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</si>
  <si>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</si>
  <si>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</si>
  <si>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</si>
  <si>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</si>
  <si>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</si>
  <si>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</si>
  <si>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</si>
  <si>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</si>
  <si>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</si>
  <si>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</si>
  <si>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</si>
  <si>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</si>
  <si>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</si>
  <si>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</si>
  <si>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</si>
  <si>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</si>
  <si>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</si>
  <si>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</si>
  <si>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</si>
  <si>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</si>
  <si>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</si>
  <si>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</si>
  <si>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</si>
  <si>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</si>
  <si>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</si>
  <si>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</si>
  <si>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</si>
  <si>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</si>
  <si>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</si>
  <si>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</si>
  <si>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</si>
  <si>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</si>
  <si>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</si>
  <si>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</si>
  <si>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</si>
  <si>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</si>
  <si>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</si>
  <si>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</si>
  <si>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</si>
  <si>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</si>
  <si>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</si>
  <si>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</si>
  <si>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</si>
  <si>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</si>
  <si>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</si>
  <si>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</si>
  <si>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</si>
  <si>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</si>
  <si>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</si>
  <si>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</si>
  <si>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</si>
  <si>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</si>
  <si>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</si>
  <si>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</si>
  <si>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</si>
  <si>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</si>
  <si>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</si>
  <si>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</si>
  <si>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</si>
  <si>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</si>
  <si>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</si>
  <si>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</si>
  <si>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</si>
  <si>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</si>
  <si>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</si>
  <si>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</si>
  <si>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</si>
  <si>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1.1.58.1</t>
  </si>
  <si>
    <t>Строительство 2-й очереди водозабора "Северный"</t>
  </si>
  <si>
    <t>1.1.58.2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</si>
  <si>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</si>
  <si>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</si>
  <si>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</si>
  <si>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</si>
  <si>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</si>
  <si>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4.1.21.*</t>
  </si>
  <si>
    <t>4.1.21.1.*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</si>
  <si>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</si>
  <si>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Приложение №  8  к постановлению администрации города Благовещенска   от 18.01.2024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</si>
</sst>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6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165" fontId="17" fillId="4" borderId="1" xfId="0" applyNumberFormat="1" applyFont="1" applyFill="1" applyBorder="1" applyAlignment="1">
      <alignment horizontal="center" vertical="center" wrapText="1"/>
    </xf>
    <xf numFmtId="165" fontId="17" fillId="4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165" fontId="1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wrapText="1"/>
    </xf>
    <xf numFmtId="0" fontId="17" fillId="4" borderId="5" xfId="0" applyFont="1" applyFill="1" applyBorder="1" applyAlignment="1">
      <alignment horizontal="left"/>
    </xf>
    <xf numFmtId="0" fontId="17" fillId="4" borderId="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3" t="s">
        <v>310</v>
      </c>
      <c r="P1" s="103"/>
      <c r="Q1" s="103"/>
      <c r="R1" s="103"/>
      <c r="S1" s="103"/>
      <c r="T1" s="9"/>
    </row>
    <row r="2" spans="1:21" ht="35.25" customHeight="1" x14ac:dyDescent="0.25">
      <c r="B2" s="7"/>
      <c r="O2" s="103" t="s">
        <v>311</v>
      </c>
      <c r="P2" s="103"/>
      <c r="Q2" s="103"/>
      <c r="R2" s="103"/>
      <c r="S2" s="103"/>
      <c r="T2" s="9"/>
    </row>
    <row r="3" spans="1:21" ht="17.25" customHeight="1" x14ac:dyDescent="0.25">
      <c r="B3" s="104" t="s">
        <v>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</row>
    <row r="4" spans="1:21" ht="16.5" customHeight="1" x14ac:dyDescent="0.25">
      <c r="B4" s="105" t="s">
        <v>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21" ht="3" customHeight="1" x14ac:dyDescent="0.25">
      <c r="B5" s="11"/>
      <c r="M5" s="12"/>
      <c r="N5" s="33"/>
    </row>
    <row r="6" spans="1:21" ht="53.25" customHeight="1" x14ac:dyDescent="0.2">
      <c r="A6" s="102" t="s">
        <v>25</v>
      </c>
      <c r="B6" s="102" t="s">
        <v>93</v>
      </c>
      <c r="C6" s="102" t="s">
        <v>129</v>
      </c>
      <c r="D6" s="102" t="s">
        <v>2</v>
      </c>
      <c r="E6" s="102"/>
      <c r="F6" s="102"/>
      <c r="G6" s="102"/>
      <c r="H6" s="110" t="s">
        <v>3</v>
      </c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</row>
    <row r="7" spans="1:21" x14ac:dyDescent="0.2">
      <c r="A7" s="102"/>
      <c r="B7" s="102"/>
      <c r="C7" s="102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3" t="s">
        <v>26</v>
      </c>
      <c r="B9" s="113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3"/>
      <c r="B10" s="113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3"/>
      <c r="B11" s="113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3"/>
      <c r="B12" s="113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5" t="s">
        <v>30</v>
      </c>
      <c r="B13" s="113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9"/>
      <c r="B14" s="113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0"/>
      <c r="B15" s="113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8" t="s">
        <v>235</v>
      </c>
      <c r="B16" s="10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9"/>
      <c r="B17" s="109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6" t="s">
        <v>118</v>
      </c>
      <c r="B43" s="106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3" t="s">
        <v>33</v>
      </c>
      <c r="B73" s="113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8"/>
      <c r="B74" s="11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3" t="s">
        <v>39</v>
      </c>
      <c r="B77" s="11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3"/>
      <c r="B78" s="11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3"/>
      <c r="B79" s="11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4"/>
      <c r="B80" s="11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8" t="s">
        <v>40</v>
      </c>
      <c r="B81" s="106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4"/>
      <c r="B82" s="123"/>
      <c r="C82" s="47" t="s">
        <v>84</v>
      </c>
      <c r="D82" s="43" t="s">
        <v>14</v>
      </c>
      <c r="E82" s="43" t="s">
        <v>23</v>
      </c>
      <c r="F82" s="125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4"/>
      <c r="B83" s="123"/>
      <c r="C83" s="47" t="s">
        <v>89</v>
      </c>
      <c r="D83" s="43" t="s">
        <v>47</v>
      </c>
      <c r="E83" s="43" t="s">
        <v>23</v>
      </c>
      <c r="F83" s="126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4"/>
      <c r="B84" s="124"/>
      <c r="C84" s="47" t="s">
        <v>86</v>
      </c>
      <c r="D84" s="43" t="s">
        <v>48</v>
      </c>
      <c r="E84" s="43" t="s">
        <v>23</v>
      </c>
      <c r="F84" s="126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8" t="s">
        <v>133</v>
      </c>
      <c r="B85" s="10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8"/>
      <c r="B86" s="10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3" t="s">
        <v>31</v>
      </c>
      <c r="B88" s="113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3"/>
      <c r="B89" s="113"/>
      <c r="C89" s="42" t="s">
        <v>89</v>
      </c>
      <c r="D89" s="43" t="s">
        <v>47</v>
      </c>
      <c r="E89" s="56" t="s">
        <v>244</v>
      </c>
      <c r="F89" s="127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3"/>
      <c r="B90" s="113"/>
      <c r="C90" s="47" t="s">
        <v>84</v>
      </c>
      <c r="D90" s="43" t="s">
        <v>14</v>
      </c>
      <c r="E90" s="56" t="s">
        <v>244</v>
      </c>
      <c r="F90" s="128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6" t="s">
        <v>34</v>
      </c>
      <c r="B91" s="106" t="s">
        <v>122</v>
      </c>
      <c r="C91" s="47" t="s">
        <v>84</v>
      </c>
      <c r="D91" s="43" t="s">
        <v>14</v>
      </c>
      <c r="E91" s="43" t="s">
        <v>35</v>
      </c>
      <c r="F91" s="125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1"/>
      <c r="B92" s="121"/>
      <c r="C92" s="47" t="s">
        <v>84</v>
      </c>
      <c r="D92" s="43" t="s">
        <v>14</v>
      </c>
      <c r="E92" s="43" t="s">
        <v>49</v>
      </c>
      <c r="F92" s="125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1"/>
      <c r="B93" s="121"/>
      <c r="C93" s="47" t="s">
        <v>89</v>
      </c>
      <c r="D93" s="43" t="s">
        <v>47</v>
      </c>
      <c r="E93" s="43" t="s">
        <v>35</v>
      </c>
      <c r="F93" s="125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25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6" t="s">
        <v>267</v>
      </c>
      <c r="B103" s="106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1"/>
      <c r="B104" s="121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1"/>
      <c r="B105" s="121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6" t="s">
        <v>282</v>
      </c>
      <c r="B109" s="106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6" t="s">
        <v>284</v>
      </c>
      <c r="B111" s="106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3" t="s">
        <v>42</v>
      </c>
      <c r="B113" s="129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3"/>
      <c r="B114" s="129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8" t="s">
        <v>334</v>
      </c>
      <c r="B115" s="130" t="s">
        <v>144</v>
      </c>
      <c r="C115" s="133" t="s">
        <v>84</v>
      </c>
      <c r="D115" s="122" t="s">
        <v>14</v>
      </c>
      <c r="E115" s="122" t="s">
        <v>41</v>
      </c>
      <c r="F115" s="126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8"/>
      <c r="B116" s="131"/>
      <c r="C116" s="133"/>
      <c r="D116" s="122"/>
      <c r="E116" s="122"/>
      <c r="F116" s="126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8"/>
      <c r="B117" s="132"/>
      <c r="C117" s="133"/>
      <c r="D117" s="122"/>
      <c r="E117" s="122"/>
      <c r="F117" s="126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6" t="s">
        <v>143</v>
      </c>
      <c r="B118" s="106" t="s">
        <v>56</v>
      </c>
      <c r="C118" s="108" t="s">
        <v>84</v>
      </c>
      <c r="D118" s="122" t="s">
        <v>14</v>
      </c>
      <c r="E118" s="122" t="s">
        <v>41</v>
      </c>
      <c r="F118" s="125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1"/>
      <c r="B119" s="121"/>
      <c r="C119" s="108"/>
      <c r="D119" s="122"/>
      <c r="E119" s="122"/>
      <c r="F119" s="125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08"/>
      <c r="D120" s="122"/>
      <c r="E120" s="122"/>
      <c r="F120" s="125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829"/>
  <sheetViews>
    <sheetView tabSelected="1" view="pageBreakPreview" zoomScale="55" zoomScaleNormal="85" zoomScaleSheetLayoutView="55" workbookViewId="0">
      <pane xSplit="2" ySplit="7" topLeftCell="D36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25" width="12.5703125" style="62" customWidth="1"/>
    <col min="26" max="16384" width="9.140625" style="62"/>
  </cols>
  <sheetData>
    <row r="1" spans="1:25" ht="40.5" customHeight="1" x14ac:dyDescent="0.2">
      <c r="D1" s="60"/>
      <c r="E1" s="61"/>
      <c r="G1" s="61"/>
      <c r="L1" s="153" t="s">
        <v>477</v>
      </c>
      <c r="M1" s="153"/>
      <c r="N1" s="153"/>
      <c r="O1" s="153"/>
    </row>
    <row r="2" spans="1:25" ht="27.75" customHeight="1" x14ac:dyDescent="0.2">
      <c r="E2" s="61"/>
      <c r="G2" s="61"/>
      <c r="I2" s="63"/>
      <c r="K2" s="62" t="s">
        <v>402</v>
      </c>
      <c r="L2" s="153" t="s">
        <v>311</v>
      </c>
      <c r="M2" s="153"/>
      <c r="N2" s="153"/>
      <c r="O2" s="153"/>
    </row>
    <row r="3" spans="1:25" ht="18.75" x14ac:dyDescent="0.3">
      <c r="B3" s="171" t="s">
        <v>368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4" spans="1:25" x14ac:dyDescent="0.2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98"/>
      <c r="L4" s="98"/>
      <c r="M4" s="64"/>
    </row>
    <row r="5" spans="1:25" ht="20.25" customHeight="1" x14ac:dyDescent="0.2">
      <c r="A5" s="155" t="s">
        <v>25</v>
      </c>
      <c r="B5" s="154" t="s">
        <v>93</v>
      </c>
      <c r="C5" s="154" t="s">
        <v>8</v>
      </c>
      <c r="D5" s="154" t="s">
        <v>343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</row>
    <row r="6" spans="1:25" ht="49.5" customHeight="1" x14ac:dyDescent="0.2">
      <c r="A6" s="155"/>
      <c r="B6" s="154"/>
      <c r="C6" s="154"/>
      <c r="D6" s="101" t="s">
        <v>9</v>
      </c>
      <c r="E6" s="101" t="s">
        <v>16</v>
      </c>
      <c r="F6" s="101" t="s">
        <v>24</v>
      </c>
      <c r="G6" s="101" t="s">
        <v>18</v>
      </c>
      <c r="H6" s="101" t="s">
        <v>19</v>
      </c>
      <c r="I6" s="101" t="s">
        <v>20</v>
      </c>
      <c r="J6" s="101" t="s">
        <v>21</v>
      </c>
      <c r="K6" s="101" t="s">
        <v>251</v>
      </c>
      <c r="L6" s="101" t="s">
        <v>294</v>
      </c>
      <c r="M6" s="101" t="s">
        <v>295</v>
      </c>
      <c r="N6" s="101" t="s">
        <v>296</v>
      </c>
      <c r="O6" s="101" t="s">
        <v>297</v>
      </c>
      <c r="W6" s="101" t="s">
        <v>471</v>
      </c>
    </row>
    <row r="7" spans="1:25" ht="16.5" customHeight="1" x14ac:dyDescent="0.2">
      <c r="A7" s="97">
        <v>1</v>
      </c>
      <c r="B7" s="96">
        <v>2</v>
      </c>
      <c r="C7" s="97">
        <v>3</v>
      </c>
      <c r="D7" s="96">
        <v>4</v>
      </c>
      <c r="E7" s="97">
        <v>5</v>
      </c>
      <c r="F7" s="96">
        <v>6</v>
      </c>
      <c r="G7" s="97">
        <v>7</v>
      </c>
      <c r="H7" s="96">
        <v>8</v>
      </c>
      <c r="I7" s="97">
        <v>9</v>
      </c>
      <c r="J7" s="96">
        <v>10</v>
      </c>
      <c r="K7" s="96">
        <v>11</v>
      </c>
      <c r="L7" s="96">
        <v>12</v>
      </c>
      <c r="M7" s="96">
        <v>13</v>
      </c>
      <c r="N7" s="96">
        <v>14</v>
      </c>
      <c r="O7" s="96">
        <v>15</v>
      </c>
      <c r="W7" s="96">
        <v>15</v>
      </c>
    </row>
    <row r="8" spans="1:25" ht="15.75" x14ac:dyDescent="0.2">
      <c r="A8" s="157" t="s">
        <v>26</v>
      </c>
      <c r="B8" s="156" t="s">
        <v>344</v>
      </c>
      <c r="C8" s="65" t="s">
        <v>7</v>
      </c>
      <c r="D8" s="66">
        <f>D9+D11+D14+D17</f>
        <v>19940304.607000001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5645176.0149999997</v>
      </c>
      <c r="N8" s="66">
        <f t="shared" si="0"/>
        <v>3199233.9</v>
      </c>
      <c r="O8" s="66">
        <f t="shared" si="0"/>
        <v>915788.7</v>
      </c>
      <c r="P8" s="67"/>
      <c r="Q8" s="60"/>
      <c r="W8" s="66">
        <f>W9+W11+W14+W17</f>
        <v>511089.79999999993</v>
      </c>
      <c r="X8" s="60"/>
      <c r="Y8" s="60">
        <f>M18+M563+M588+M622+M802</f>
        <v>5645176.0149999997</v>
      </c>
    </row>
    <row r="9" spans="1:25" ht="31.5" x14ac:dyDescent="0.2">
      <c r="A9" s="157"/>
      <c r="B9" s="156"/>
      <c r="C9" s="68" t="s">
        <v>80</v>
      </c>
      <c r="D9" s="69">
        <f>E9+F9+G9+H9+I9+J9+K9+L9+M9+N9+O9+W9</f>
        <v>1321848.8999999999</v>
      </c>
      <c r="E9" s="69">
        <f t="shared" ref="E9:O9" si="1">E19+E564+E590+E623+E803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0</v>
      </c>
      <c r="O9" s="69">
        <f t="shared" si="1"/>
        <v>0</v>
      </c>
      <c r="W9" s="69">
        <f>W19+W564+W590+W623+W803</f>
        <v>0</v>
      </c>
    </row>
    <row r="10" spans="1:25" ht="31.5" x14ac:dyDescent="0.2">
      <c r="A10" s="157"/>
      <c r="B10" s="156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58"/>
      <c r="B11" s="156"/>
      <c r="C11" s="68" t="s">
        <v>69</v>
      </c>
      <c r="D11" s="69">
        <f>E11+F11+G11+H11+I11+J11+K11+L11+M11+N11+O11+W11</f>
        <v>13425015.609999999</v>
      </c>
      <c r="E11" s="69">
        <f t="shared" ref="E11:O11" si="5">E21+E565+E591+E624+E804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>M21+M565+M591+M624+M804</f>
        <v>3869889.5</v>
      </c>
      <c r="N11" s="69">
        <f t="shared" si="5"/>
        <v>2787659.9</v>
      </c>
      <c r="O11" s="69">
        <f t="shared" si="5"/>
        <v>538785</v>
      </c>
      <c r="W11" s="69">
        <f>W21+W565+W591+W624+W804</f>
        <v>122728.09999999999</v>
      </c>
    </row>
    <row r="12" spans="1:25" ht="31.5" x14ac:dyDescent="0.2">
      <c r="A12" s="158"/>
      <c r="B12" s="156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58"/>
      <c r="B13" s="156"/>
      <c r="C13" s="70" t="s">
        <v>81</v>
      </c>
      <c r="D13" s="69">
        <f t="shared" si="6"/>
        <v>83107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M23+M625</f>
        <v>40718.5</v>
      </c>
      <c r="N13" s="71">
        <f>N23+N625</f>
        <v>0</v>
      </c>
      <c r="O13" s="71">
        <f>O23+O625</f>
        <v>0</v>
      </c>
      <c r="W13" s="71">
        <f>W23+W625</f>
        <v>0</v>
      </c>
    </row>
    <row r="14" spans="1:25" ht="31.5" x14ac:dyDescent="0.2">
      <c r="A14" s="158"/>
      <c r="B14" s="156"/>
      <c r="C14" s="68" t="s">
        <v>65</v>
      </c>
      <c r="D14" s="69">
        <f t="shared" si="6"/>
        <v>5163175.0970000001</v>
      </c>
      <c r="E14" s="69">
        <f t="shared" ref="E14:O14" si="11">E24+E566+E592+E626+E805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>M24+M566+M592+M626+M805</f>
        <v>667254.71500000008</v>
      </c>
      <c r="N14" s="69">
        <f t="shared" si="11"/>
        <v>411574.00000000006</v>
      </c>
      <c r="O14" s="69">
        <f t="shared" si="11"/>
        <v>377003.69999999995</v>
      </c>
      <c r="W14" s="69">
        <f>W24+W566+W592+W626+W805</f>
        <v>388361.69999999995</v>
      </c>
    </row>
    <row r="15" spans="1:25" ht="31.5" x14ac:dyDescent="0.2">
      <c r="A15" s="158"/>
      <c r="B15" s="156"/>
      <c r="C15" s="70" t="s">
        <v>79</v>
      </c>
      <c r="D15" s="69">
        <f t="shared" si="6"/>
        <v>85206.799999999988</v>
      </c>
      <c r="E15" s="71">
        <f>E25+E627+E593</f>
        <v>48729.7</v>
      </c>
      <c r="F15" s="71">
        <f>F25+F627+F593</f>
        <v>30651</v>
      </c>
      <c r="G15" s="71">
        <f>G42+G605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M25+M599+M627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58"/>
      <c r="B16" s="156"/>
      <c r="C16" s="72" t="s">
        <v>448</v>
      </c>
      <c r="D16" s="69">
        <f t="shared" si="6"/>
        <v>13662.300000000001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M26+M628</f>
        <v>12270.300000000001</v>
      </c>
      <c r="N16" s="71">
        <f>N26+N628</f>
        <v>0</v>
      </c>
      <c r="O16" s="71">
        <f>O26+O628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W26+W628</f>
        <v>0</v>
      </c>
    </row>
    <row r="17" spans="1:23" ht="17.25" customHeight="1" x14ac:dyDescent="0.2">
      <c r="A17" s="158"/>
      <c r="B17" s="156"/>
      <c r="C17" s="68" t="s">
        <v>13</v>
      </c>
      <c r="D17" s="69">
        <f t="shared" si="6"/>
        <v>30265</v>
      </c>
      <c r="E17" s="69">
        <f>E567</f>
        <v>20000</v>
      </c>
      <c r="F17" s="69">
        <f t="shared" ref="F17:K17" si="14">F567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L567</f>
        <v>0</v>
      </c>
      <c r="M17" s="69">
        <f>M567</f>
        <v>0</v>
      </c>
      <c r="N17" s="69">
        <f>N567</f>
        <v>0</v>
      </c>
      <c r="O17" s="69">
        <f>O567</f>
        <v>0</v>
      </c>
      <c r="W17" s="69">
        <f>W567</f>
        <v>0</v>
      </c>
    </row>
    <row r="18" spans="1:23" ht="15.75" x14ac:dyDescent="0.2">
      <c r="A18" s="168" t="s">
        <v>27</v>
      </c>
      <c r="B18" s="168" t="s">
        <v>28</v>
      </c>
      <c r="C18" s="73" t="s">
        <v>7</v>
      </c>
      <c r="D18" s="66">
        <f>E18+F18+G18+H18+I18+J18+K18+L18+M18+N18+O18+W18</f>
        <v>14519021.130000001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5030430.3</v>
      </c>
      <c r="N18" s="66">
        <f>N19+N21+N24+N27</f>
        <v>2836731.1999999997</v>
      </c>
      <c r="O18" s="66">
        <f>O19+O21+O24+O27</f>
        <v>580646.40000000002</v>
      </c>
      <c r="P18" s="67"/>
      <c r="Q18" s="60"/>
      <c r="W18" s="66">
        <f>W19+W21+W24+W27</f>
        <v>137866.29999999999</v>
      </c>
    </row>
    <row r="19" spans="1:23" ht="31.5" x14ac:dyDescent="0.2">
      <c r="A19" s="169"/>
      <c r="B19" s="169"/>
      <c r="C19" s="99" t="s">
        <v>80</v>
      </c>
      <c r="D19" s="69">
        <f>E19+F19+G19+H19+I19+J19+K19+L19+M19+N19+O19+W19</f>
        <v>1321848.8999999999</v>
      </c>
      <c r="E19" s="69">
        <f>E29+E525</f>
        <v>98793.9</v>
      </c>
      <c r="F19" s="69">
        <f>F29+F525</f>
        <v>0</v>
      </c>
      <c r="G19" s="69">
        <f>G29+G525</f>
        <v>0</v>
      </c>
      <c r="H19" s="69">
        <f>H29+H525</f>
        <v>0</v>
      </c>
      <c r="I19" s="69">
        <f>I29+I525</f>
        <v>0</v>
      </c>
      <c r="J19" s="69">
        <f t="shared" ref="J19:O19" si="16">J29+J525+J437+J487+J545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W29+W525+W437+W487+W545</f>
        <v>0</v>
      </c>
    </row>
    <row r="20" spans="1:23" ht="31.5" x14ac:dyDescent="0.2">
      <c r="A20" s="169"/>
      <c r="B20" s="169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69"/>
      <c r="B21" s="169"/>
      <c r="C21" s="99" t="s">
        <v>69</v>
      </c>
      <c r="D21" s="69">
        <f>E21+F21+G21+H21+I21+J21+K21+L21+M21+N21+O21+W21</f>
        <v>12325938.01</v>
      </c>
      <c r="E21" s="69">
        <f>E31+E438+E488+E526</f>
        <v>68697.599999999991</v>
      </c>
      <c r="F21" s="69">
        <f>F31+F438+F488+F526</f>
        <v>15000</v>
      </c>
      <c r="G21" s="69">
        <f>G31+G438+G488+G526</f>
        <v>26276.799999999999</v>
      </c>
      <c r="H21" s="69">
        <f>H31+H438+H488+H526</f>
        <v>47416.2</v>
      </c>
      <c r="I21" s="69">
        <f>I31+I438+I488+I526</f>
        <v>43469.7</v>
      </c>
      <c r="J21" s="69">
        <f t="shared" ref="J21:O21" si="19">J31+J438+J488+J526+J546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2775492.9</v>
      </c>
      <c r="O21" s="69">
        <f t="shared" si="19"/>
        <v>538785</v>
      </c>
      <c r="W21" s="69">
        <f>W31+W438+W488+W526+W546</f>
        <v>122728.09999999999</v>
      </c>
    </row>
    <row r="22" spans="1:23" ht="31.5" x14ac:dyDescent="0.2">
      <c r="A22" s="169"/>
      <c r="B22" s="169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69"/>
      <c r="B23" s="169"/>
      <c r="C23" s="74" t="s">
        <v>81</v>
      </c>
      <c r="D23" s="71">
        <f t="shared" si="17"/>
        <v>74527.100000000006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L33+L547</f>
        <v>21808</v>
      </c>
      <c r="M23" s="71">
        <f>M33+M547</f>
        <v>32138.6</v>
      </c>
      <c r="N23" s="71">
        <f>N33+N547</f>
        <v>0</v>
      </c>
      <c r="O23" s="71">
        <f>O33+O547</f>
        <v>0</v>
      </c>
      <c r="W23" s="71">
        <f>W33+W547</f>
        <v>0</v>
      </c>
    </row>
    <row r="24" spans="1:23" ht="31.5" x14ac:dyDescent="0.2">
      <c r="A24" s="169"/>
      <c r="B24" s="169"/>
      <c r="C24" s="99" t="s">
        <v>65</v>
      </c>
      <c r="D24" s="69">
        <f t="shared" si="17"/>
        <v>871234.22000000009</v>
      </c>
      <c r="E24" s="69">
        <f>E34+E439+E489+E527</f>
        <v>51114.700000000004</v>
      </c>
      <c r="F24" s="69">
        <f>F34+F439+F489+F527</f>
        <v>36837.9</v>
      </c>
      <c r="G24" s="69">
        <f>G34+G439+G489+G527</f>
        <v>45690.899999999994</v>
      </c>
      <c r="H24" s="69">
        <f>H34+H439+H489+H527</f>
        <v>90174.399999999994</v>
      </c>
      <c r="I24" s="69">
        <f>I34+I439+I489+I527</f>
        <v>50236</v>
      </c>
      <c r="J24" s="69">
        <f t="shared" ref="J24:O24" si="24">J34+J439+J489+J527+J548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131431.29999999999</v>
      </c>
      <c r="N24" s="69">
        <f t="shared" si="24"/>
        <v>61238.299999999996</v>
      </c>
      <c r="O24" s="69">
        <f t="shared" si="24"/>
        <v>41861.399999999994</v>
      </c>
      <c r="P24" s="60"/>
      <c r="Q24" s="60"/>
      <c r="W24" s="69">
        <f>W34+W439+W489+W527+W548</f>
        <v>15138.2</v>
      </c>
    </row>
    <row r="25" spans="1:23" ht="31.5" customHeight="1" x14ac:dyDescent="0.2">
      <c r="A25" s="169"/>
      <c r="B25" s="169"/>
      <c r="C25" s="74" t="s">
        <v>79</v>
      </c>
      <c r="D25" s="69">
        <f t="shared" si="17"/>
        <v>24185.399999999998</v>
      </c>
      <c r="E25" s="71">
        <f t="shared" ref="E25:O25" si="25">E35+E490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W35+W490</f>
        <v>0</v>
      </c>
    </row>
    <row r="26" spans="1:23" ht="31.5" customHeight="1" x14ac:dyDescent="0.2">
      <c r="A26" s="169"/>
      <c r="B26" s="169"/>
      <c r="C26" s="72" t="s">
        <v>448</v>
      </c>
      <c r="D26" s="71">
        <f t="shared" si="17"/>
        <v>13114.6</v>
      </c>
      <c r="E26" s="71">
        <f t="shared" ref="E26:K26" si="26">E549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L549</f>
        <v>1392</v>
      </c>
      <c r="M26" s="71">
        <f>M33+M549</f>
        <v>11722.6</v>
      </c>
      <c r="N26" s="71">
        <f>N33+N549</f>
        <v>0</v>
      </c>
      <c r="O26" s="71">
        <f>O33+O549</f>
        <v>0</v>
      </c>
      <c r="W26" s="71">
        <f>W33+W549</f>
        <v>0</v>
      </c>
    </row>
    <row r="27" spans="1:23" ht="17.25" customHeight="1" x14ac:dyDescent="0.2">
      <c r="A27" s="170"/>
      <c r="B27" s="170"/>
      <c r="C27" s="99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60" t="s">
        <v>235</v>
      </c>
      <c r="B28" s="163" t="s">
        <v>142</v>
      </c>
      <c r="C28" s="99" t="s">
        <v>7</v>
      </c>
      <c r="D28" s="69">
        <f>D29+D31+D34+D37</f>
        <v>13729862.5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4985382.9000000004</v>
      </c>
      <c r="N28" s="69">
        <f t="shared" si="27"/>
        <v>2824597.1</v>
      </c>
      <c r="O28" s="69">
        <f t="shared" si="27"/>
        <v>569015.30000000005</v>
      </c>
      <c r="P28" s="67"/>
      <c r="Q28" s="60"/>
      <c r="W28" s="69">
        <f t="shared" ref="W28" si="28">W29+W31+W34+W37</f>
        <v>118480</v>
      </c>
    </row>
    <row r="29" spans="1:23" ht="31.5" customHeight="1" x14ac:dyDescent="0.2">
      <c r="A29" s="161"/>
      <c r="B29" s="164"/>
      <c r="C29" s="99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9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M39+M45+M51+M57+M62+M69+M75+M82+M89+M95+M101+M108+M115+M122+M130+M139+M146+M153+M159+M166+M173+M179+M185+M190+M195+M200+M207+M212+M217+M222+M227+M232+M237+M242+M247+M252+M257+M262+M267+M272+M302+M422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W39+W45+W51+W57+W62+W69+W75+W82+W89+W95+W101+W108+W115+W122+W130+W139+W146+W153+W159+W166+W173+W179+W185+W190+W195+W200+W207+W212+W217+W222+W227+W232+W237+W242+W247+W252+W257+W262+W267+W272+W302</f>
        <v>0</v>
      </c>
    </row>
    <row r="30" spans="1:23" ht="31.5" x14ac:dyDescent="0.2">
      <c r="A30" s="161"/>
      <c r="B30" s="164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61"/>
      <c r="B31" s="164"/>
      <c r="C31" s="99" t="s">
        <v>69</v>
      </c>
      <c r="D31" s="69">
        <f t="shared" si="31"/>
        <v>11917351.700000001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33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M40+M46+M52+M58+M64+M70+M76+M83+M90+M96+M102+M109+M116+M123+M131+M140+M147+M154+M160+M167+M174+M180+M186+M191+M196+M201+M208+M218+M223+M228++M233+M238+M243+M248+M253+M258+M263+M268+M273+M303+M278+M283+M288+M293+M298+M333+M348+M353+M363+M368+M383+M388+M413+M423</f>
        <v>3769159.2</v>
      </c>
      <c r="N31" s="69">
        <f t="shared" ref="N31:O31" si="34">N40+N46+N52+N58+N64+N70+N76+N83+N90+N96+N102+N109+N116+N123+N131+N140+N147+N154+N160+N167+N174+N180+N186+N191+N196+N201+N208+N218+N223+N228++N233+N238+N243+N248+N253+N258+N263+N268+N273+N303+N278+N283+N288+N293+N298+N333+N348+N353+N363+N368+N383+N388+N413</f>
        <v>2775492.9</v>
      </c>
      <c r="O31" s="69">
        <f t="shared" si="34"/>
        <v>538785</v>
      </c>
      <c r="W31" s="69">
        <f t="shared" ref="W31" si="35">W40+W46+W52+W58+W64+W70+W76+W83+W90+W96+W102+W109+W116+W123+W131+W140+W147+W154+W160+W167+W174+W180+W186+W191+W196+W201+W208+W218+W223+W228++W233+W238+W243+W248+W253+W258+W263+W268+W273+W303+W278+W283+W288+W293+W298+W333+W348+W353+W363+W368+W383+W388+W413</f>
        <v>115438.2</v>
      </c>
    </row>
    <row r="32" spans="1:23" ht="31.5" x14ac:dyDescent="0.2">
      <c r="A32" s="161"/>
      <c r="B32" s="164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61"/>
      <c r="B33" s="164"/>
      <c r="C33" s="74" t="s">
        <v>81</v>
      </c>
      <c r="D33" s="69">
        <f t="shared" si="31"/>
        <v>30911.1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0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61"/>
      <c r="B34" s="164"/>
      <c r="C34" s="99" t="s">
        <v>65</v>
      </c>
      <c r="D34" s="69">
        <f t="shared" si="31"/>
        <v>605685.10000000009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40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+M424</f>
        <v>108191.9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49104.2</v>
      </c>
      <c r="O34" s="69">
        <f t="shared" ref="O34" si="41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30230.3</v>
      </c>
      <c r="P34" s="69">
        <f t="shared" ref="P34:V34" si="42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W41+W47+W53+W59+W65+W71+W78+W84+W91+W97+W104+W110+W117+W125+W134+W141+W149+W155+W162+W168+W175+W181+W187+W192+W197+W203+W209+W214+W219+W224+W229+W234+W239+W244+W254+W249+W259+W264+W269+W274+W279+W304+W284+W289+W294+W299+W309+W314+W319+W324+W334+W349+W354+W364+W369+W384+W389</f>
        <v>3041.8</v>
      </c>
    </row>
    <row r="35" spans="1:23" ht="31.5" x14ac:dyDescent="0.2">
      <c r="A35" s="161"/>
      <c r="B35" s="164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61"/>
      <c r="B36" s="164"/>
      <c r="C36" s="74" t="s">
        <v>448</v>
      </c>
      <c r="D36" s="69">
        <f t="shared" si="31"/>
        <v>659.4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 t="shared" si="45"/>
        <v>659.4</v>
      </c>
      <c r="N36" s="71">
        <f t="shared" si="45"/>
        <v>0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62"/>
      <c r="B37" s="165"/>
      <c r="C37" s="99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40" t="s">
        <v>94</v>
      </c>
      <c r="B38" s="137" t="s">
        <v>371</v>
      </c>
      <c r="C38" s="94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40"/>
      <c r="B39" s="138"/>
      <c r="C39" s="99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40"/>
      <c r="B40" s="138"/>
      <c r="C40" s="99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40"/>
      <c r="B41" s="138"/>
      <c r="C41" s="99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40"/>
      <c r="B42" s="138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40"/>
      <c r="B43" s="139"/>
      <c r="C43" s="99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40" t="s">
        <v>95</v>
      </c>
      <c r="B44" s="143" t="s">
        <v>247</v>
      </c>
      <c r="C44" s="99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40"/>
      <c r="B45" s="143"/>
      <c r="C45" s="99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40"/>
      <c r="B46" s="143"/>
      <c r="C46" s="99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40"/>
      <c r="B47" s="143"/>
      <c r="C47" s="99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40"/>
      <c r="B48" s="143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40"/>
      <c r="B49" s="143"/>
      <c r="C49" s="99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34" t="s">
        <v>131</v>
      </c>
      <c r="B50" s="137" t="s">
        <v>227</v>
      </c>
      <c r="C50" s="99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35"/>
      <c r="B51" s="138"/>
      <c r="C51" s="99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35"/>
      <c r="B52" s="138"/>
      <c r="C52" s="99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35"/>
      <c r="B53" s="138"/>
      <c r="C53" s="99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35"/>
      <c r="B54" s="138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36"/>
      <c r="B55" s="139"/>
      <c r="C55" s="99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40" t="s">
        <v>96</v>
      </c>
      <c r="B56" s="143" t="s">
        <v>88</v>
      </c>
      <c r="C56" s="99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40"/>
      <c r="B57" s="143"/>
      <c r="C57" s="99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40"/>
      <c r="B58" s="143"/>
      <c r="C58" s="99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40"/>
      <c r="B59" s="143"/>
      <c r="C59" s="99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40"/>
      <c r="B60" s="143"/>
      <c r="C60" s="99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40" t="s">
        <v>97</v>
      </c>
      <c r="B61" s="137" t="s">
        <v>420</v>
      </c>
      <c r="C61" s="99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40"/>
      <c r="B62" s="138"/>
      <c r="C62" s="99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40"/>
      <c r="B63" s="138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40"/>
      <c r="B64" s="138"/>
      <c r="C64" s="99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40"/>
      <c r="B65" s="138"/>
      <c r="C65" s="99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40"/>
      <c r="B66" s="138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40"/>
      <c r="B67" s="139"/>
      <c r="C67" s="99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40" t="s">
        <v>98</v>
      </c>
      <c r="B68" s="143" t="s">
        <v>61</v>
      </c>
      <c r="C68" s="99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40"/>
      <c r="B69" s="143"/>
      <c r="C69" s="99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40"/>
      <c r="B70" s="143"/>
      <c r="C70" s="99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40"/>
      <c r="B71" s="143"/>
      <c r="C71" s="99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40"/>
      <c r="B72" s="143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40"/>
      <c r="B73" s="143"/>
      <c r="C73" s="99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40" t="s">
        <v>99</v>
      </c>
      <c r="B74" s="143" t="s">
        <v>138</v>
      </c>
      <c r="C74" s="99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40"/>
      <c r="B75" s="143"/>
      <c r="C75" s="99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40"/>
      <c r="B76" s="143"/>
      <c r="C76" s="99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40"/>
      <c r="B77" s="143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40"/>
      <c r="B78" s="143"/>
      <c r="C78" s="99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40"/>
      <c r="B79" s="143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40"/>
      <c r="B80" s="143"/>
      <c r="C80" s="99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40" t="s">
        <v>100</v>
      </c>
      <c r="B81" s="137" t="s">
        <v>68</v>
      </c>
      <c r="C81" s="99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40"/>
      <c r="B82" s="138"/>
      <c r="C82" s="99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40"/>
      <c r="B83" s="138"/>
      <c r="C83" s="99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40"/>
      <c r="B84" s="138"/>
      <c r="C84" s="99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40"/>
      <c r="B85" s="138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40"/>
      <c r="B86" s="139"/>
      <c r="C86" s="99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40" t="s">
        <v>101</v>
      </c>
      <c r="B87" s="143" t="s">
        <v>70</v>
      </c>
      <c r="C87" s="99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40"/>
      <c r="B88" s="143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40"/>
      <c r="B89" s="143"/>
      <c r="C89" s="99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40"/>
      <c r="B90" s="143"/>
      <c r="C90" s="99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40"/>
      <c r="B91" s="143"/>
      <c r="C91" s="99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40"/>
      <c r="B92" s="143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40"/>
      <c r="B93" s="143"/>
      <c r="C93" s="99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40" t="s">
        <v>102</v>
      </c>
      <c r="B94" s="140" t="s">
        <v>208</v>
      </c>
      <c r="C94" s="99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40"/>
      <c r="B95" s="140"/>
      <c r="C95" s="99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40"/>
      <c r="B96" s="140"/>
      <c r="C96" s="99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40"/>
      <c r="B97" s="140"/>
      <c r="C97" s="99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40"/>
      <c r="B98" s="140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40"/>
      <c r="B99" s="140"/>
      <c r="C99" s="99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40" t="s">
        <v>103</v>
      </c>
      <c r="B100" s="143" t="s">
        <v>234</v>
      </c>
      <c r="C100" s="99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1"/>
      <c r="B101" s="143"/>
      <c r="C101" s="99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1"/>
      <c r="B102" s="143"/>
      <c r="C102" s="99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1"/>
      <c r="B103" s="143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1"/>
      <c r="B104" s="143"/>
      <c r="C104" s="99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1"/>
      <c r="B105" s="143"/>
      <c r="C105" s="99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34" t="s">
        <v>104</v>
      </c>
      <c r="B106" s="137" t="s">
        <v>139</v>
      </c>
      <c r="C106" s="99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35"/>
      <c r="B107" s="138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48"/>
      <c r="B108" s="138"/>
      <c r="C108" s="99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48"/>
      <c r="B109" s="138"/>
      <c r="C109" s="99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48"/>
      <c r="B110" s="138"/>
      <c r="C110" s="99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48"/>
      <c r="B111" s="138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49"/>
      <c r="B112" s="139"/>
      <c r="C112" s="99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40" t="s">
        <v>105</v>
      </c>
      <c r="B113" s="134" t="s">
        <v>72</v>
      </c>
      <c r="C113" s="99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40"/>
      <c r="B114" s="135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1"/>
      <c r="B115" s="135"/>
      <c r="C115" s="99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1"/>
      <c r="B116" s="135"/>
      <c r="C116" s="99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1"/>
      <c r="B117" s="135"/>
      <c r="C117" s="99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1"/>
      <c r="B118" s="135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1"/>
      <c r="B119" s="136"/>
      <c r="C119" s="99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40" t="s">
        <v>106</v>
      </c>
      <c r="B120" s="140" t="s">
        <v>77</v>
      </c>
      <c r="C120" s="99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40"/>
      <c r="B121" s="140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1"/>
      <c r="B122" s="140"/>
      <c r="C122" s="99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1"/>
      <c r="B123" s="140"/>
      <c r="C123" s="99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1"/>
      <c r="B124" s="140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1"/>
      <c r="B125" s="140"/>
      <c r="C125" s="99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1"/>
      <c r="B126" s="140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1"/>
      <c r="B127" s="140"/>
      <c r="C127" s="99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34" t="s">
        <v>107</v>
      </c>
      <c r="B128" s="143" t="s">
        <v>140</v>
      </c>
      <c r="C128" s="99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35"/>
      <c r="B129" s="143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48"/>
      <c r="B130" s="143"/>
      <c r="C130" s="99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48"/>
      <c r="B131" s="143"/>
      <c r="C131" s="99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48"/>
      <c r="B132" s="143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48"/>
      <c r="B133" s="143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48"/>
      <c r="B134" s="143"/>
      <c r="C134" s="99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48"/>
      <c r="B135" s="143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49"/>
      <c r="B136" s="143"/>
      <c r="C136" s="99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40" t="s">
        <v>108</v>
      </c>
      <c r="B137" s="143" t="s">
        <v>74</v>
      </c>
      <c r="C137" s="99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40"/>
      <c r="B138" s="143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1"/>
      <c r="B139" s="143"/>
      <c r="C139" s="99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1"/>
      <c r="B140" s="143"/>
      <c r="C140" s="99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1"/>
      <c r="B141" s="143"/>
      <c r="C141" s="99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1"/>
      <c r="B142" s="143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1"/>
      <c r="B143" s="143"/>
      <c r="C143" s="99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66" t="s">
        <v>109</v>
      </c>
      <c r="B144" s="147" t="s">
        <v>73</v>
      </c>
      <c r="C144" s="99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66"/>
      <c r="B145" s="147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67"/>
      <c r="B146" s="147"/>
      <c r="C146" s="99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67"/>
      <c r="B147" s="147"/>
      <c r="C147" s="99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67"/>
      <c r="B148" s="147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67"/>
      <c r="B149" s="147"/>
      <c r="C149" s="99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67"/>
      <c r="B150" s="147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67"/>
      <c r="B151" s="147"/>
      <c r="C151" s="99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40" t="s">
        <v>110</v>
      </c>
      <c r="B152" s="137" t="s">
        <v>67</v>
      </c>
      <c r="C152" s="99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1"/>
      <c r="B153" s="138"/>
      <c r="C153" s="99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1"/>
      <c r="B154" s="138"/>
      <c r="C154" s="99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1"/>
      <c r="B155" s="138"/>
      <c r="C155" s="99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1"/>
      <c r="B156" s="138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1"/>
      <c r="B157" s="139"/>
      <c r="C157" s="99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40" t="s">
        <v>111</v>
      </c>
      <c r="B158" s="143" t="s">
        <v>141</v>
      </c>
      <c r="C158" s="99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1"/>
      <c r="B159" s="143"/>
      <c r="C159" s="99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1"/>
      <c r="B160" s="143"/>
      <c r="C160" s="99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1"/>
      <c r="B161" s="143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1"/>
      <c r="B162" s="143"/>
      <c r="C162" s="99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1"/>
      <c r="B163" s="143"/>
      <c r="C163" s="99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40" t="s">
        <v>112</v>
      </c>
      <c r="B164" s="137" t="s">
        <v>75</v>
      </c>
      <c r="C164" s="94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40"/>
      <c r="B165" s="138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40"/>
      <c r="B166" s="138"/>
      <c r="C166" s="94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40"/>
      <c r="B167" s="138"/>
      <c r="C167" s="94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40"/>
      <c r="B168" s="138"/>
      <c r="C168" s="99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40"/>
      <c r="B169" s="138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40"/>
      <c r="B170" s="139"/>
      <c r="C170" s="94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40" t="s">
        <v>113</v>
      </c>
      <c r="B171" s="143" t="s">
        <v>78</v>
      </c>
      <c r="C171" s="99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1"/>
      <c r="B172" s="142"/>
      <c r="C172" s="74" t="s">
        <v>79</v>
      </c>
      <c r="D172" s="69">
        <f t="shared" ref="D172:D235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1"/>
      <c r="B173" s="142"/>
      <c r="C173" s="99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1"/>
      <c r="B174" s="142"/>
      <c r="C174" s="99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1"/>
      <c r="B175" s="142"/>
      <c r="C175" s="99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1"/>
      <c r="B176" s="142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1"/>
      <c r="B177" s="142"/>
      <c r="C177" s="99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40" t="s">
        <v>114</v>
      </c>
      <c r="B178" s="140" t="s">
        <v>213</v>
      </c>
      <c r="C178" s="99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1"/>
      <c r="B179" s="140"/>
      <c r="C179" s="99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1"/>
      <c r="B180" s="140"/>
      <c r="C180" s="99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1"/>
      <c r="B181" s="140"/>
      <c r="C181" s="99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1"/>
      <c r="B182" s="140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1"/>
      <c r="B183" s="140"/>
      <c r="C183" s="99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40" t="s">
        <v>115</v>
      </c>
      <c r="B184" s="140" t="s">
        <v>217</v>
      </c>
      <c r="C184" s="99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1"/>
      <c r="B185" s="140"/>
      <c r="C185" s="99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1"/>
      <c r="B186" s="140"/>
      <c r="C186" s="99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1"/>
      <c r="B187" s="140"/>
      <c r="C187" s="99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1"/>
      <c r="B188" s="140"/>
      <c r="C188" s="99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40" t="s">
        <v>116</v>
      </c>
      <c r="B189" s="140" t="s">
        <v>224</v>
      </c>
      <c r="C189" s="99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1"/>
      <c r="B190" s="140"/>
      <c r="C190" s="99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1"/>
      <c r="B191" s="140"/>
      <c r="C191" s="99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1"/>
      <c r="B192" s="140"/>
      <c r="C192" s="99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8000</v>
      </c>
      <c r="O192" s="69">
        <v>0</v>
      </c>
      <c r="W192" s="69">
        <v>0</v>
      </c>
    </row>
    <row r="193" spans="1:25" ht="44.25" customHeight="1" x14ac:dyDescent="0.2">
      <c r="A193" s="141"/>
      <c r="B193" s="140"/>
      <c r="C193" s="99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40" t="s">
        <v>117</v>
      </c>
      <c r="B194" s="140" t="s">
        <v>225</v>
      </c>
      <c r="C194" s="99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1"/>
      <c r="B195" s="140"/>
      <c r="C195" s="94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1"/>
      <c r="B196" s="140"/>
      <c r="C196" s="94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1"/>
      <c r="B197" s="140"/>
      <c r="C197" s="94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1"/>
      <c r="B198" s="140"/>
      <c r="C198" s="94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40" t="s">
        <v>118</v>
      </c>
      <c r="B199" s="140" t="s">
        <v>378</v>
      </c>
      <c r="C199" s="99" t="s">
        <v>7</v>
      </c>
      <c r="D199" s="69">
        <f t="shared" si="88"/>
        <v>2659245.7000000002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128995.1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1"/>
      <c r="B200" s="140"/>
      <c r="C200" s="94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1"/>
      <c r="B201" s="140"/>
      <c r="C201" s="94" t="s">
        <v>69</v>
      </c>
      <c r="D201" s="69">
        <f t="shared" si="88"/>
        <v>2490272.4000000004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221840-81525-22157.4</f>
        <v>118157.6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41"/>
      <c r="B202" s="140"/>
      <c r="C202" s="72" t="s">
        <v>81</v>
      </c>
      <c r="D202" s="69">
        <f t="shared" si="88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  <c r="W202" s="71">
        <v>0</v>
      </c>
    </row>
    <row r="203" spans="1:25" ht="31.5" x14ac:dyDescent="0.2">
      <c r="A203" s="141"/>
      <c r="B203" s="140"/>
      <c r="C203" s="94" t="s">
        <v>65</v>
      </c>
      <c r="D203" s="69">
        <f t="shared" si="88"/>
        <v>168973.3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1">
        <f>14160-53.6+194+659.4+146.9-3319.1</f>
        <v>11787.599999999999</v>
      </c>
      <c r="N203" s="69">
        <f>14160-3319.2-288.7-1595.8+3295.5+1595.8-3010.1</f>
        <v>10837.499999999998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41"/>
      <c r="B204" s="140"/>
      <c r="C204" s="72" t="s">
        <v>448</v>
      </c>
      <c r="D204" s="69">
        <f t="shared" si="88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1"/>
      <c r="B205" s="140"/>
      <c r="C205" s="94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40" t="s">
        <v>212</v>
      </c>
      <c r="B206" s="140" t="s">
        <v>298</v>
      </c>
      <c r="C206" s="99" t="s">
        <v>7</v>
      </c>
      <c r="D206" s="69">
        <f t="shared" si="88"/>
        <v>18215.800000000003</v>
      </c>
      <c r="E206" s="69">
        <f t="shared" ref="E206:K206" si="98">E207+E208+E209+E210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L207+L208+L209+L210</f>
        <v>4131.6000000000004</v>
      </c>
      <c r="M206" s="69">
        <f>M207+M208+M209+M210</f>
        <v>7103.3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  <c r="W206" s="69">
        <f>W207+W208+W209+W210</f>
        <v>0</v>
      </c>
    </row>
    <row r="207" spans="1:25" ht="15.75" x14ac:dyDescent="0.2">
      <c r="A207" s="141"/>
      <c r="B207" s="141"/>
      <c r="C207" s="99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1"/>
      <c r="B208" s="141"/>
      <c r="C208" s="99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15.75" x14ac:dyDescent="0.2">
      <c r="A209" s="141"/>
      <c r="B209" s="141"/>
      <c r="C209" s="99" t="s">
        <v>12</v>
      </c>
      <c r="D209" s="69">
        <f t="shared" si="88"/>
        <v>18215.800000000003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0</v>
      </c>
      <c r="O209" s="69">
        <v>0</v>
      </c>
      <c r="W209" s="69">
        <v>0</v>
      </c>
    </row>
    <row r="210" spans="1:23" ht="35.25" customHeight="1" x14ac:dyDescent="0.2">
      <c r="A210" s="141"/>
      <c r="B210" s="141"/>
      <c r="C210" s="99" t="s">
        <v>13</v>
      </c>
      <c r="D210" s="69">
        <f t="shared" si="88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W210" s="69">
        <v>0</v>
      </c>
    </row>
    <row r="211" spans="1:23" ht="15.75" x14ac:dyDescent="0.2">
      <c r="A211" s="140" t="s">
        <v>252</v>
      </c>
      <c r="B211" s="140" t="s">
        <v>256</v>
      </c>
      <c r="C211" s="99" t="s">
        <v>7</v>
      </c>
      <c r="D211" s="69">
        <f t="shared" si="88"/>
        <v>379.3</v>
      </c>
      <c r="E211" s="69">
        <f t="shared" ref="E211:J211" si="99">E212+E213+E214+E215</f>
        <v>0</v>
      </c>
      <c r="F211" s="69">
        <f t="shared" si="99"/>
        <v>0</v>
      </c>
      <c r="G211" s="69">
        <f t="shared" si="99"/>
        <v>0</v>
      </c>
      <c r="H211" s="69">
        <f t="shared" si="99"/>
        <v>0</v>
      </c>
      <c r="I211" s="69">
        <f t="shared" si="99"/>
        <v>10.3</v>
      </c>
      <c r="J211" s="69">
        <f t="shared" si="99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  <c r="W211" s="69">
        <f>W212+W213+W214+W215</f>
        <v>0</v>
      </c>
    </row>
    <row r="212" spans="1:23" ht="15.75" x14ac:dyDescent="0.2">
      <c r="A212" s="141"/>
      <c r="B212" s="141"/>
      <c r="C212" s="99" t="s">
        <v>10</v>
      </c>
      <c r="D212" s="69">
        <f t="shared" si="88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  <c r="W212" s="69">
        <v>0</v>
      </c>
    </row>
    <row r="213" spans="1:23" ht="15.75" x14ac:dyDescent="0.2">
      <c r="A213" s="141"/>
      <c r="B213" s="141"/>
      <c r="C213" s="99" t="s">
        <v>11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1"/>
      <c r="B214" s="141"/>
      <c r="C214" s="99" t="s">
        <v>12</v>
      </c>
      <c r="D214" s="69">
        <f t="shared" si="88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36.75" customHeight="1" x14ac:dyDescent="0.2">
      <c r="A215" s="141"/>
      <c r="B215" s="141"/>
      <c r="C215" s="94" t="s">
        <v>13</v>
      </c>
      <c r="D215" s="69">
        <f t="shared" si="88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15.75" x14ac:dyDescent="0.2">
      <c r="A216" s="140" t="s">
        <v>253</v>
      </c>
      <c r="B216" s="140" t="s">
        <v>292</v>
      </c>
      <c r="C216" s="99" t="s">
        <v>7</v>
      </c>
      <c r="D216" s="69">
        <f t="shared" si="88"/>
        <v>5482.5</v>
      </c>
      <c r="E216" s="69">
        <f t="shared" ref="E216:J216" si="100">E217+E218+E219+E220</f>
        <v>0</v>
      </c>
      <c r="F216" s="69">
        <f t="shared" si="100"/>
        <v>0</v>
      </c>
      <c r="G216" s="69">
        <f t="shared" si="100"/>
        <v>0</v>
      </c>
      <c r="H216" s="69">
        <f t="shared" si="100"/>
        <v>0</v>
      </c>
      <c r="I216" s="69">
        <f t="shared" si="100"/>
        <v>0</v>
      </c>
      <c r="J216" s="69">
        <f t="shared" si="100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  <c r="W216" s="69">
        <f>W217+W218+W219+W220</f>
        <v>0</v>
      </c>
    </row>
    <row r="217" spans="1:23" ht="15.75" x14ac:dyDescent="0.2">
      <c r="A217" s="141"/>
      <c r="B217" s="141"/>
      <c r="C217" s="99" t="s">
        <v>10</v>
      </c>
      <c r="D217" s="69">
        <f t="shared" si="88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  <c r="W217" s="69">
        <v>0</v>
      </c>
    </row>
    <row r="218" spans="1:23" ht="15.75" x14ac:dyDescent="0.2">
      <c r="A218" s="141"/>
      <c r="B218" s="141"/>
      <c r="C218" s="99" t="s">
        <v>11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1"/>
      <c r="B219" s="141"/>
      <c r="C219" s="99" t="s">
        <v>12</v>
      </c>
      <c r="D219" s="69">
        <f t="shared" si="88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32.25" customHeight="1" x14ac:dyDescent="0.2">
      <c r="A220" s="141"/>
      <c r="B220" s="141"/>
      <c r="C220" s="94" t="s">
        <v>13</v>
      </c>
      <c r="D220" s="69">
        <f t="shared" si="88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15.75" x14ac:dyDescent="0.2">
      <c r="A221" s="140" t="s">
        <v>254</v>
      </c>
      <c r="B221" s="140" t="s">
        <v>412</v>
      </c>
      <c r="C221" s="99" t="s">
        <v>7</v>
      </c>
      <c r="D221" s="69">
        <f t="shared" si="88"/>
        <v>241</v>
      </c>
      <c r="E221" s="69">
        <f t="shared" ref="E221:J221" si="101">E222+E223+E224+E225</f>
        <v>0</v>
      </c>
      <c r="F221" s="69">
        <f t="shared" si="101"/>
        <v>0</v>
      </c>
      <c r="G221" s="69">
        <f t="shared" si="101"/>
        <v>0</v>
      </c>
      <c r="H221" s="69">
        <f t="shared" si="101"/>
        <v>0</v>
      </c>
      <c r="I221" s="69">
        <f t="shared" si="101"/>
        <v>0</v>
      </c>
      <c r="J221" s="69">
        <f t="shared" si="101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  <c r="W221" s="69">
        <f>W222+W223+W224+W225</f>
        <v>0</v>
      </c>
    </row>
    <row r="222" spans="1:23" ht="15.75" x14ac:dyDescent="0.2">
      <c r="A222" s="141"/>
      <c r="B222" s="141"/>
      <c r="C222" s="99" t="s">
        <v>10</v>
      </c>
      <c r="D222" s="69">
        <f t="shared" si="88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W222" s="69">
        <v>0</v>
      </c>
    </row>
    <row r="223" spans="1:23" ht="15.75" x14ac:dyDescent="0.2">
      <c r="A223" s="141"/>
      <c r="B223" s="141"/>
      <c r="C223" s="99" t="s">
        <v>11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1"/>
      <c r="B224" s="141"/>
      <c r="C224" s="99" t="s">
        <v>12</v>
      </c>
      <c r="D224" s="69">
        <f t="shared" si="88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  <c r="W224" s="69">
        <v>0</v>
      </c>
    </row>
    <row r="225" spans="1:23" ht="17.25" customHeight="1" x14ac:dyDescent="0.2">
      <c r="A225" s="141"/>
      <c r="B225" s="141"/>
      <c r="C225" s="99" t="s">
        <v>13</v>
      </c>
      <c r="D225" s="69">
        <f t="shared" si="88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  <c r="W225" s="69">
        <v>0</v>
      </c>
    </row>
    <row r="226" spans="1:23" ht="15.75" x14ac:dyDescent="0.2">
      <c r="A226" s="140" t="s">
        <v>255</v>
      </c>
      <c r="B226" s="140" t="s">
        <v>257</v>
      </c>
      <c r="C226" s="99" t="s">
        <v>7</v>
      </c>
      <c r="D226" s="69">
        <f t="shared" si="88"/>
        <v>159.99999999999997</v>
      </c>
      <c r="E226" s="69">
        <f t="shared" ref="E226:J226" si="102">E227+E228+E229+E230</f>
        <v>0</v>
      </c>
      <c r="F226" s="69">
        <f t="shared" si="102"/>
        <v>0</v>
      </c>
      <c r="G226" s="69">
        <f t="shared" si="102"/>
        <v>0</v>
      </c>
      <c r="H226" s="69">
        <f t="shared" si="102"/>
        <v>0</v>
      </c>
      <c r="I226" s="69">
        <f t="shared" si="102"/>
        <v>160</v>
      </c>
      <c r="J226" s="69">
        <f t="shared" si="102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  <c r="W226" s="69">
        <f>W227+W228+W229+W230</f>
        <v>0</v>
      </c>
    </row>
    <row r="227" spans="1:23" ht="15.75" x14ac:dyDescent="0.2">
      <c r="A227" s="141"/>
      <c r="B227" s="141"/>
      <c r="C227" s="99" t="s">
        <v>10</v>
      </c>
      <c r="D227" s="69">
        <f t="shared" si="88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W227" s="69">
        <v>0</v>
      </c>
    </row>
    <row r="228" spans="1:23" ht="15.75" x14ac:dyDescent="0.2">
      <c r="A228" s="141"/>
      <c r="B228" s="141"/>
      <c r="C228" s="99" t="s">
        <v>11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1"/>
      <c r="B229" s="141"/>
      <c r="C229" s="99" t="s">
        <v>12</v>
      </c>
      <c r="D229" s="69">
        <f t="shared" si="88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36" customHeight="1" x14ac:dyDescent="0.2">
      <c r="A230" s="141"/>
      <c r="B230" s="141"/>
      <c r="C230" s="94" t="s">
        <v>13</v>
      </c>
      <c r="D230" s="69">
        <f t="shared" si="88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15.75" x14ac:dyDescent="0.2">
      <c r="A231" s="140" t="s">
        <v>271</v>
      </c>
      <c r="B231" s="134" t="s">
        <v>272</v>
      </c>
      <c r="C231" s="99" t="s">
        <v>7</v>
      </c>
      <c r="D231" s="69">
        <f t="shared" si="88"/>
        <v>1402.5</v>
      </c>
      <c r="E231" s="69">
        <f t="shared" ref="E231:J231" si="103">E232+E233+E234+E235</f>
        <v>0</v>
      </c>
      <c r="F231" s="69">
        <f t="shared" si="103"/>
        <v>0</v>
      </c>
      <c r="G231" s="69">
        <f t="shared" si="103"/>
        <v>0</v>
      </c>
      <c r="H231" s="69">
        <f t="shared" si="103"/>
        <v>0</v>
      </c>
      <c r="I231" s="69">
        <f t="shared" si="103"/>
        <v>1402.5</v>
      </c>
      <c r="J231" s="69">
        <f t="shared" si="103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  <c r="W231" s="69">
        <f>W232+W233+W234+W235</f>
        <v>0</v>
      </c>
    </row>
    <row r="232" spans="1:23" ht="15.75" x14ac:dyDescent="0.2">
      <c r="A232" s="141"/>
      <c r="B232" s="148"/>
      <c r="C232" s="99" t="s">
        <v>10</v>
      </c>
      <c r="D232" s="69">
        <f t="shared" si="88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W232" s="69">
        <v>0</v>
      </c>
    </row>
    <row r="233" spans="1:23" ht="15.75" x14ac:dyDescent="0.2">
      <c r="A233" s="141"/>
      <c r="B233" s="148"/>
      <c r="C233" s="99" t="s">
        <v>11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1"/>
      <c r="B234" s="148"/>
      <c r="C234" s="99" t="s">
        <v>12</v>
      </c>
      <c r="D234" s="69">
        <f t="shared" si="88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39.75" customHeight="1" x14ac:dyDescent="0.2">
      <c r="A235" s="141"/>
      <c r="B235" s="149"/>
      <c r="C235" s="94" t="s">
        <v>13</v>
      </c>
      <c r="D235" s="69">
        <f t="shared" si="88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15.75" x14ac:dyDescent="0.2">
      <c r="A236" s="140" t="s">
        <v>279</v>
      </c>
      <c r="B236" s="134" t="s">
        <v>280</v>
      </c>
      <c r="C236" s="99" t="s">
        <v>7</v>
      </c>
      <c r="D236" s="69">
        <f t="shared" ref="D236:D299" si="104">E236+F236+G236+H236+I236+J236+K236+L236+M236+N236+O236+W236</f>
        <v>4280.7</v>
      </c>
      <c r="E236" s="69">
        <f t="shared" ref="E236:J236" si="105">E237+E238+E239+E240</f>
        <v>0</v>
      </c>
      <c r="F236" s="69">
        <f t="shared" si="105"/>
        <v>0</v>
      </c>
      <c r="G236" s="69">
        <f t="shared" si="105"/>
        <v>0</v>
      </c>
      <c r="H236" s="69">
        <f t="shared" si="105"/>
        <v>0</v>
      </c>
      <c r="I236" s="69">
        <f t="shared" si="105"/>
        <v>4280.7</v>
      </c>
      <c r="J236" s="69">
        <f t="shared" si="105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  <c r="W236" s="69">
        <f>W237+W238+W239+W240</f>
        <v>0</v>
      </c>
    </row>
    <row r="237" spans="1:23" ht="15.75" x14ac:dyDescent="0.2">
      <c r="A237" s="141"/>
      <c r="B237" s="148"/>
      <c r="C237" s="99" t="s">
        <v>10</v>
      </c>
      <c r="D237" s="69">
        <f t="shared" si="104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W237" s="69">
        <v>0</v>
      </c>
    </row>
    <row r="238" spans="1:23" ht="15.75" x14ac:dyDescent="0.2">
      <c r="A238" s="141"/>
      <c r="B238" s="148"/>
      <c r="C238" s="99" t="s">
        <v>11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1"/>
      <c r="B239" s="148"/>
      <c r="C239" s="99" t="s">
        <v>12</v>
      </c>
      <c r="D239" s="69">
        <f t="shared" si="104"/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23.25" customHeight="1" x14ac:dyDescent="0.2">
      <c r="A240" s="141"/>
      <c r="B240" s="149"/>
      <c r="C240" s="99" t="s">
        <v>13</v>
      </c>
      <c r="D240" s="69">
        <f t="shared" si="104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15.75" x14ac:dyDescent="0.2">
      <c r="A241" s="140" t="s">
        <v>293</v>
      </c>
      <c r="B241" s="134" t="s">
        <v>367</v>
      </c>
      <c r="C241" s="99" t="s">
        <v>43</v>
      </c>
      <c r="D241" s="69">
        <f t="shared" si="104"/>
        <v>307198.09999999998</v>
      </c>
      <c r="E241" s="69">
        <f t="shared" ref="E241:J241" si="106">E242+E243+E244+E245</f>
        <v>0</v>
      </c>
      <c r="F241" s="69">
        <f t="shared" si="106"/>
        <v>0</v>
      </c>
      <c r="G241" s="69">
        <f t="shared" si="106"/>
        <v>0</v>
      </c>
      <c r="H241" s="69">
        <f t="shared" si="106"/>
        <v>0</v>
      </c>
      <c r="I241" s="69">
        <f t="shared" si="106"/>
        <v>0</v>
      </c>
      <c r="J241" s="69">
        <f t="shared" si="106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W241" s="69">
        <f>W242+W243+W244+W245</f>
        <v>0</v>
      </c>
      <c r="X241" s="60"/>
    </row>
    <row r="242" spans="1:24" ht="15.75" x14ac:dyDescent="0.2">
      <c r="A242" s="141"/>
      <c r="B242" s="148"/>
      <c r="C242" s="99" t="s">
        <v>10</v>
      </c>
      <c r="D242" s="69">
        <f t="shared" si="104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  <c r="W242" s="69">
        <v>0</v>
      </c>
    </row>
    <row r="243" spans="1:24" ht="15.75" x14ac:dyDescent="0.2">
      <c r="A243" s="141"/>
      <c r="B243" s="148"/>
      <c r="C243" s="99" t="s">
        <v>11</v>
      </c>
      <c r="D243" s="69">
        <f t="shared" si="104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107">151446-151446</f>
        <v>0</v>
      </c>
      <c r="N243" s="69">
        <f t="shared" si="107"/>
        <v>0</v>
      </c>
      <c r="O243" s="69">
        <v>0</v>
      </c>
      <c r="W243" s="69">
        <v>0</v>
      </c>
    </row>
    <row r="244" spans="1:24" ht="15.75" x14ac:dyDescent="0.2">
      <c r="A244" s="141"/>
      <c r="B244" s="148"/>
      <c r="C244" s="99" t="s">
        <v>12</v>
      </c>
      <c r="D244" s="69">
        <f t="shared" si="104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  <c r="W244" s="69">
        <v>0</v>
      </c>
    </row>
    <row r="245" spans="1:24" ht="40.5" customHeight="1" x14ac:dyDescent="0.2">
      <c r="A245" s="141"/>
      <c r="B245" s="149"/>
      <c r="C245" s="94" t="s">
        <v>13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15.75" x14ac:dyDescent="0.2">
      <c r="A246" s="140" t="s">
        <v>299</v>
      </c>
      <c r="B246" s="140" t="s">
        <v>305</v>
      </c>
      <c r="C246" s="99" t="s">
        <v>7</v>
      </c>
      <c r="D246" s="69">
        <f t="shared" si="104"/>
        <v>1528</v>
      </c>
      <c r="E246" s="69">
        <f t="shared" ref="E246:J246" si="108">E247+E248+E249+E250</f>
        <v>0</v>
      </c>
      <c r="F246" s="69">
        <f t="shared" si="108"/>
        <v>0</v>
      </c>
      <c r="G246" s="69">
        <f t="shared" si="108"/>
        <v>0</v>
      </c>
      <c r="H246" s="69">
        <f t="shared" si="108"/>
        <v>0</v>
      </c>
      <c r="I246" s="69">
        <f t="shared" si="108"/>
        <v>1528</v>
      </c>
      <c r="J246" s="69">
        <f t="shared" si="108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  <c r="W246" s="69">
        <f>W247+W248+W249+W250</f>
        <v>0</v>
      </c>
    </row>
    <row r="247" spans="1:24" ht="15.75" x14ac:dyDescent="0.2">
      <c r="A247" s="141"/>
      <c r="B247" s="141"/>
      <c r="C247" s="99" t="s">
        <v>10</v>
      </c>
      <c r="D247" s="69">
        <f t="shared" si="104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W247" s="69">
        <v>0</v>
      </c>
    </row>
    <row r="248" spans="1:24" ht="15.75" x14ac:dyDescent="0.2">
      <c r="A248" s="141"/>
      <c r="B248" s="141"/>
      <c r="C248" s="99" t="s">
        <v>11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1"/>
      <c r="B249" s="141"/>
      <c r="C249" s="99" t="s">
        <v>12</v>
      </c>
      <c r="D249" s="69">
        <f t="shared" si="104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43.5" customHeight="1" x14ac:dyDescent="0.2">
      <c r="A250" s="141"/>
      <c r="B250" s="141"/>
      <c r="C250" s="94" t="s">
        <v>13</v>
      </c>
      <c r="D250" s="69">
        <f t="shared" si="104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2" customHeight="1" x14ac:dyDescent="0.2">
      <c r="A251" s="140" t="s">
        <v>301</v>
      </c>
      <c r="B251" s="140" t="s">
        <v>372</v>
      </c>
      <c r="C251" s="99" t="s">
        <v>7</v>
      </c>
      <c r="D251" s="69">
        <f t="shared" si="104"/>
        <v>50891.799999999996</v>
      </c>
      <c r="E251" s="69">
        <f t="shared" ref="E251:J251" si="109">E252+E253+E254+E255</f>
        <v>0</v>
      </c>
      <c r="F251" s="69">
        <f t="shared" si="109"/>
        <v>0</v>
      </c>
      <c r="G251" s="69">
        <f t="shared" si="109"/>
        <v>0</v>
      </c>
      <c r="H251" s="69">
        <f t="shared" si="109"/>
        <v>0</v>
      </c>
      <c r="I251" s="69">
        <f t="shared" si="109"/>
        <v>0</v>
      </c>
      <c r="J251" s="69">
        <f t="shared" si="109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  <c r="W251" s="69">
        <f>W252+W253+W254+W255</f>
        <v>0</v>
      </c>
    </row>
    <row r="252" spans="1:24" ht="19.5" customHeight="1" x14ac:dyDescent="0.2">
      <c r="A252" s="141"/>
      <c r="B252" s="141"/>
      <c r="C252" s="99" t="s">
        <v>10</v>
      </c>
      <c r="D252" s="69">
        <f t="shared" si="104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W252" s="69">
        <v>0</v>
      </c>
    </row>
    <row r="253" spans="1:24" ht="15.75" x14ac:dyDescent="0.2">
      <c r="A253" s="141"/>
      <c r="B253" s="141"/>
      <c r="C253" s="99" t="s">
        <v>11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1"/>
      <c r="B254" s="141"/>
      <c r="C254" s="99" t="s">
        <v>12</v>
      </c>
      <c r="D254" s="69">
        <f t="shared" si="104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29.25" customHeight="1" x14ac:dyDescent="0.2">
      <c r="A255" s="141"/>
      <c r="B255" s="141"/>
      <c r="C255" s="94" t="s">
        <v>13</v>
      </c>
      <c r="D255" s="69">
        <f t="shared" si="104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15.75" hidden="1" x14ac:dyDescent="0.2">
      <c r="A256" s="140"/>
      <c r="B256" s="134" t="s">
        <v>320</v>
      </c>
      <c r="C256" s="99" t="s">
        <v>7</v>
      </c>
      <c r="D256" s="69">
        <f t="shared" si="104"/>
        <v>0</v>
      </c>
      <c r="E256" s="69">
        <f t="shared" ref="E256:J256" si="110">E257+E258+E259+E260</f>
        <v>0</v>
      </c>
      <c r="F256" s="69">
        <f t="shared" si="110"/>
        <v>0</v>
      </c>
      <c r="G256" s="69">
        <f t="shared" si="110"/>
        <v>0</v>
      </c>
      <c r="H256" s="69">
        <f t="shared" si="110"/>
        <v>0</v>
      </c>
      <c r="I256" s="69">
        <f t="shared" si="110"/>
        <v>0</v>
      </c>
      <c r="J256" s="69">
        <f t="shared" si="110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  <c r="W256" s="69">
        <f>W257+W258+W259+W260</f>
        <v>0</v>
      </c>
    </row>
    <row r="257" spans="1:23" ht="15.75" hidden="1" x14ac:dyDescent="0.2">
      <c r="A257" s="141"/>
      <c r="B257" s="148"/>
      <c r="C257" s="99" t="s">
        <v>10</v>
      </c>
      <c r="D257" s="69">
        <f t="shared" si="104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W257" s="69">
        <v>0</v>
      </c>
    </row>
    <row r="258" spans="1:23" ht="15.75" hidden="1" x14ac:dyDescent="0.2">
      <c r="A258" s="141"/>
      <c r="B258" s="148"/>
      <c r="C258" s="99" t="s">
        <v>11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1"/>
      <c r="B259" s="148"/>
      <c r="C259" s="99" t="s">
        <v>12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21.75" hidden="1" customHeight="1" x14ac:dyDescent="0.2">
      <c r="A260" s="141"/>
      <c r="B260" s="149"/>
      <c r="C260" s="94" t="s">
        <v>13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15.75" x14ac:dyDescent="0.2">
      <c r="A261" s="140" t="s">
        <v>304</v>
      </c>
      <c r="B261" s="134" t="s">
        <v>323</v>
      </c>
      <c r="C261" s="94" t="s">
        <v>7</v>
      </c>
      <c r="D261" s="69">
        <f t="shared" si="104"/>
        <v>1919</v>
      </c>
      <c r="E261" s="69">
        <f t="shared" ref="E261:J261" si="111">E262+E263+E264+E265</f>
        <v>0</v>
      </c>
      <c r="F261" s="69">
        <f t="shared" si="111"/>
        <v>0</v>
      </c>
      <c r="G261" s="69">
        <f t="shared" si="111"/>
        <v>0</v>
      </c>
      <c r="H261" s="69">
        <f t="shared" si="111"/>
        <v>0</v>
      </c>
      <c r="I261" s="69">
        <f t="shared" si="111"/>
        <v>0</v>
      </c>
      <c r="J261" s="69">
        <f t="shared" si="111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  <c r="W261" s="69">
        <f>W262+W263+W264+W265</f>
        <v>0</v>
      </c>
    </row>
    <row r="262" spans="1:23" ht="15.75" x14ac:dyDescent="0.2">
      <c r="A262" s="141"/>
      <c r="B262" s="148"/>
      <c r="C262" s="94" t="s">
        <v>10</v>
      </c>
      <c r="D262" s="69">
        <f t="shared" si="104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W262" s="69">
        <v>0</v>
      </c>
    </row>
    <row r="263" spans="1:23" ht="15.75" x14ac:dyDescent="0.2">
      <c r="A263" s="141"/>
      <c r="B263" s="148"/>
      <c r="C263" s="94" t="s">
        <v>11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1"/>
      <c r="B264" s="148"/>
      <c r="C264" s="94" t="s">
        <v>12</v>
      </c>
      <c r="D264" s="69">
        <f t="shared" si="104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35.25" customHeight="1" x14ac:dyDescent="0.2">
      <c r="A265" s="141"/>
      <c r="B265" s="149"/>
      <c r="C265" s="94" t="s">
        <v>13</v>
      </c>
      <c r="D265" s="69">
        <f t="shared" si="104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15.75" x14ac:dyDescent="0.2">
      <c r="A266" s="140" t="s">
        <v>319</v>
      </c>
      <c r="B266" s="134" t="s">
        <v>324</v>
      </c>
      <c r="C266" s="94" t="s">
        <v>7</v>
      </c>
      <c r="D266" s="69">
        <f t="shared" si="104"/>
        <v>15546.3</v>
      </c>
      <c r="E266" s="69">
        <f t="shared" ref="E266:J266" si="112">E267+E268+E269+E270</f>
        <v>0</v>
      </c>
      <c r="F266" s="69">
        <f t="shared" si="112"/>
        <v>0</v>
      </c>
      <c r="G266" s="69">
        <f t="shared" si="112"/>
        <v>0</v>
      </c>
      <c r="H266" s="69">
        <f t="shared" si="112"/>
        <v>0</v>
      </c>
      <c r="I266" s="69">
        <f t="shared" si="112"/>
        <v>0</v>
      </c>
      <c r="J266" s="69">
        <f t="shared" si="112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  <c r="W266" s="69">
        <f>W267+W268+W269+W270</f>
        <v>0</v>
      </c>
    </row>
    <row r="267" spans="1:23" ht="16.5" customHeight="1" x14ac:dyDescent="0.2">
      <c r="A267" s="141"/>
      <c r="B267" s="148"/>
      <c r="C267" s="99" t="s">
        <v>10</v>
      </c>
      <c r="D267" s="69">
        <f t="shared" si="104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  <c r="W267" s="69">
        <v>0</v>
      </c>
    </row>
    <row r="268" spans="1:23" ht="16.5" customHeight="1" x14ac:dyDescent="0.2">
      <c r="A268" s="141"/>
      <c r="B268" s="148"/>
      <c r="C268" s="99" t="s">
        <v>11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1"/>
      <c r="B269" s="148"/>
      <c r="C269" s="99" t="s">
        <v>12</v>
      </c>
      <c r="D269" s="69">
        <f t="shared" si="104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27.75" customHeight="1" x14ac:dyDescent="0.2">
      <c r="A270" s="141"/>
      <c r="B270" s="149"/>
      <c r="C270" s="94" t="s">
        <v>13</v>
      </c>
      <c r="D270" s="69">
        <f t="shared" si="104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15.75" x14ac:dyDescent="0.2">
      <c r="A271" s="140" t="s">
        <v>321</v>
      </c>
      <c r="B271" s="140" t="s">
        <v>339</v>
      </c>
      <c r="C271" s="94" t="s">
        <v>7</v>
      </c>
      <c r="D271" s="69">
        <f t="shared" si="104"/>
        <v>9202</v>
      </c>
      <c r="E271" s="69">
        <f t="shared" ref="E271:J271" si="113">E272+E273+E274+E275</f>
        <v>0</v>
      </c>
      <c r="F271" s="69">
        <f t="shared" si="113"/>
        <v>0</v>
      </c>
      <c r="G271" s="69">
        <f t="shared" si="113"/>
        <v>0</v>
      </c>
      <c r="H271" s="69">
        <f t="shared" si="113"/>
        <v>0</v>
      </c>
      <c r="I271" s="69">
        <f t="shared" si="113"/>
        <v>0</v>
      </c>
      <c r="J271" s="69">
        <f t="shared" si="113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  <c r="W271" s="69">
        <f>W272+W273+W274+W275</f>
        <v>0</v>
      </c>
    </row>
    <row r="272" spans="1:23" ht="16.5" customHeight="1" x14ac:dyDescent="0.2">
      <c r="A272" s="141"/>
      <c r="B272" s="141"/>
      <c r="C272" s="99" t="s">
        <v>10</v>
      </c>
      <c r="D272" s="69">
        <f t="shared" si="104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  <c r="W272" s="69">
        <v>0</v>
      </c>
    </row>
    <row r="273" spans="1:24" ht="16.5" customHeight="1" x14ac:dyDescent="0.2">
      <c r="A273" s="141"/>
      <c r="B273" s="141"/>
      <c r="C273" s="99" t="s">
        <v>11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1"/>
      <c r="B274" s="141"/>
      <c r="C274" s="99" t="s">
        <v>12</v>
      </c>
      <c r="D274" s="69">
        <f t="shared" si="104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36" customHeight="1" x14ac:dyDescent="0.2">
      <c r="A275" s="141"/>
      <c r="B275" s="141"/>
      <c r="C275" s="94" t="s">
        <v>13</v>
      </c>
      <c r="D275" s="69">
        <f t="shared" si="104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41.25" customHeight="1" x14ac:dyDescent="0.2">
      <c r="A276" s="140" t="s">
        <v>322</v>
      </c>
      <c r="B276" s="140" t="s">
        <v>373</v>
      </c>
      <c r="C276" s="94" t="s">
        <v>7</v>
      </c>
      <c r="D276" s="69">
        <f t="shared" si="104"/>
        <v>8744.6</v>
      </c>
      <c r="E276" s="69">
        <f t="shared" ref="E276:J276" si="114">E277+E278+E279+E280</f>
        <v>0</v>
      </c>
      <c r="F276" s="69">
        <f t="shared" si="114"/>
        <v>0</v>
      </c>
      <c r="G276" s="69">
        <f t="shared" si="114"/>
        <v>0</v>
      </c>
      <c r="H276" s="69">
        <f>H277+H278+H279+H280</f>
        <v>0</v>
      </c>
      <c r="I276" s="69">
        <f t="shared" si="114"/>
        <v>0</v>
      </c>
      <c r="J276" s="69">
        <f t="shared" si="114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  <c r="W276" s="69">
        <f>W277+W278+W279+W280</f>
        <v>0</v>
      </c>
    </row>
    <row r="277" spans="1:24" ht="16.5" customHeight="1" x14ac:dyDescent="0.2">
      <c r="A277" s="141"/>
      <c r="B277" s="141"/>
      <c r="C277" s="99" t="s">
        <v>10</v>
      </c>
      <c r="D277" s="69">
        <f t="shared" si="104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  <c r="W277" s="69">
        <v>0</v>
      </c>
    </row>
    <row r="278" spans="1:24" ht="16.5" customHeight="1" x14ac:dyDescent="0.2">
      <c r="A278" s="141"/>
      <c r="B278" s="141"/>
      <c r="C278" s="99" t="s">
        <v>11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1"/>
      <c r="B279" s="141"/>
      <c r="C279" s="99" t="s">
        <v>12</v>
      </c>
      <c r="D279" s="69">
        <f t="shared" si="104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1"/>
      <c r="B280" s="141"/>
      <c r="C280" s="94" t="s">
        <v>13</v>
      </c>
      <c r="D280" s="69">
        <f t="shared" si="104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42" hidden="1" customHeight="1" x14ac:dyDescent="0.2">
      <c r="A281" s="140" t="s">
        <v>424</v>
      </c>
      <c r="B281" s="140" t="s">
        <v>377</v>
      </c>
      <c r="C281" s="94" t="s">
        <v>7</v>
      </c>
      <c r="D281" s="69">
        <f t="shared" si="104"/>
        <v>0</v>
      </c>
      <c r="E281" s="69">
        <f t="shared" ref="E281:O281" si="115">E282+E283+E284+E285</f>
        <v>0</v>
      </c>
      <c r="F281" s="69">
        <f t="shared" si="115"/>
        <v>0</v>
      </c>
      <c r="G281" s="69">
        <f t="shared" si="115"/>
        <v>0</v>
      </c>
      <c r="H281" s="69">
        <f t="shared" si="115"/>
        <v>0</v>
      </c>
      <c r="I281" s="69">
        <f t="shared" si="115"/>
        <v>0</v>
      </c>
      <c r="J281" s="69">
        <f t="shared" si="115"/>
        <v>0</v>
      </c>
      <c r="K281" s="69">
        <f t="shared" si="115"/>
        <v>0</v>
      </c>
      <c r="L281" s="69">
        <f t="shared" si="115"/>
        <v>0</v>
      </c>
      <c r="M281" s="69">
        <f t="shared" si="115"/>
        <v>0</v>
      </c>
      <c r="N281" s="69">
        <f t="shared" si="115"/>
        <v>0</v>
      </c>
      <c r="O281" s="69">
        <f t="shared" si="115"/>
        <v>0</v>
      </c>
      <c r="W281" s="69">
        <f t="shared" ref="W281" si="116">W282+W283+W284+W285</f>
        <v>0</v>
      </c>
    </row>
    <row r="282" spans="1:24" ht="16.5" hidden="1" customHeight="1" x14ac:dyDescent="0.2">
      <c r="A282" s="141"/>
      <c r="B282" s="141"/>
      <c r="C282" s="99" t="s">
        <v>10</v>
      </c>
      <c r="D282" s="69">
        <f t="shared" si="104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W282" s="69">
        <v>0</v>
      </c>
    </row>
    <row r="283" spans="1:24" ht="16.5" hidden="1" customHeight="1" x14ac:dyDescent="0.2">
      <c r="A283" s="141"/>
      <c r="B283" s="141"/>
      <c r="C283" s="99" t="s">
        <v>11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W283" s="69">
        <v>0</v>
      </c>
      <c r="X283" s="62" t="s">
        <v>423</v>
      </c>
    </row>
    <row r="284" spans="1:24" ht="16.5" hidden="1" customHeight="1" x14ac:dyDescent="0.2">
      <c r="A284" s="141"/>
      <c r="B284" s="141"/>
      <c r="C284" s="99" t="s">
        <v>12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  <c r="W284" s="69">
        <v>0</v>
      </c>
    </row>
    <row r="285" spans="1:24" ht="23.25" hidden="1" customHeight="1" x14ac:dyDescent="0.2">
      <c r="A285" s="141"/>
      <c r="B285" s="141"/>
      <c r="C285" s="94" t="s">
        <v>13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15.75" x14ac:dyDescent="0.2">
      <c r="A286" s="140" t="s">
        <v>336</v>
      </c>
      <c r="B286" s="140" t="s">
        <v>366</v>
      </c>
      <c r="C286" s="94" t="s">
        <v>7</v>
      </c>
      <c r="D286" s="69">
        <f t="shared" si="104"/>
        <v>589.1</v>
      </c>
      <c r="E286" s="69">
        <f t="shared" ref="E286:O286" si="117">E287+E288+E289+E290</f>
        <v>0</v>
      </c>
      <c r="F286" s="69">
        <f t="shared" si="117"/>
        <v>0</v>
      </c>
      <c r="G286" s="69">
        <f t="shared" si="117"/>
        <v>0</v>
      </c>
      <c r="H286" s="69">
        <f t="shared" si="117"/>
        <v>0</v>
      </c>
      <c r="I286" s="69">
        <f t="shared" si="117"/>
        <v>0</v>
      </c>
      <c r="J286" s="69">
        <f t="shared" si="117"/>
        <v>0</v>
      </c>
      <c r="K286" s="69">
        <f t="shared" si="117"/>
        <v>589.1</v>
      </c>
      <c r="L286" s="69">
        <f t="shared" si="117"/>
        <v>0</v>
      </c>
      <c r="M286" s="69">
        <f t="shared" si="117"/>
        <v>0</v>
      </c>
      <c r="N286" s="69">
        <f t="shared" si="117"/>
        <v>0</v>
      </c>
      <c r="O286" s="69">
        <f t="shared" si="117"/>
        <v>0</v>
      </c>
      <c r="W286" s="69">
        <f t="shared" ref="W286" si="118">W287+W288+W289+W290</f>
        <v>0</v>
      </c>
    </row>
    <row r="287" spans="1:24" ht="16.5" customHeight="1" x14ac:dyDescent="0.2">
      <c r="A287" s="141"/>
      <c r="B287" s="141"/>
      <c r="C287" s="99" t="s">
        <v>10</v>
      </c>
      <c r="D287" s="69">
        <f t="shared" si="104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  <c r="W287" s="69">
        <v>0</v>
      </c>
    </row>
    <row r="288" spans="1:24" ht="16.5" customHeight="1" x14ac:dyDescent="0.2">
      <c r="A288" s="141"/>
      <c r="B288" s="141"/>
      <c r="C288" s="99" t="s">
        <v>11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1"/>
      <c r="B289" s="141"/>
      <c r="C289" s="99" t="s">
        <v>12</v>
      </c>
      <c r="D289" s="69">
        <f t="shared" si="104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24" customHeight="1" x14ac:dyDescent="0.2">
      <c r="A290" s="141"/>
      <c r="B290" s="141"/>
      <c r="C290" s="94" t="s">
        <v>13</v>
      </c>
      <c r="D290" s="69">
        <f t="shared" si="104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15.75" hidden="1" x14ac:dyDescent="0.2">
      <c r="A291" s="140"/>
      <c r="B291" s="140" t="s">
        <v>387</v>
      </c>
      <c r="C291" s="94" t="s">
        <v>7</v>
      </c>
      <c r="D291" s="69">
        <f t="shared" si="104"/>
        <v>0</v>
      </c>
      <c r="E291" s="69">
        <f t="shared" ref="E291:O292" si="119">E292+E293+E294+E295</f>
        <v>0</v>
      </c>
      <c r="F291" s="69">
        <f t="shared" si="119"/>
        <v>0</v>
      </c>
      <c r="G291" s="69">
        <f t="shared" si="119"/>
        <v>0</v>
      </c>
      <c r="H291" s="69">
        <f t="shared" si="119"/>
        <v>0</v>
      </c>
      <c r="I291" s="69">
        <f t="shared" si="119"/>
        <v>0</v>
      </c>
      <c r="J291" s="69">
        <f t="shared" si="119"/>
        <v>0</v>
      </c>
      <c r="K291" s="69">
        <f t="shared" si="119"/>
        <v>0</v>
      </c>
      <c r="L291" s="69">
        <f t="shared" si="119"/>
        <v>0</v>
      </c>
      <c r="M291" s="69">
        <f t="shared" si="119"/>
        <v>0</v>
      </c>
      <c r="N291" s="69">
        <f t="shared" si="119"/>
        <v>0</v>
      </c>
      <c r="O291" s="69">
        <f t="shared" si="119"/>
        <v>0</v>
      </c>
      <c r="W291" s="69">
        <f t="shared" ref="W291" si="120">W292+W293+W294+W295</f>
        <v>0</v>
      </c>
    </row>
    <row r="292" spans="1:24" ht="16.5" hidden="1" customHeight="1" x14ac:dyDescent="0.2">
      <c r="A292" s="141"/>
      <c r="B292" s="141"/>
      <c r="C292" s="99" t="s">
        <v>10</v>
      </c>
      <c r="D292" s="69">
        <f t="shared" si="104"/>
        <v>0</v>
      </c>
      <c r="E292" s="69">
        <f t="shared" si="119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  <c r="W292" s="69">
        <v>0</v>
      </c>
    </row>
    <row r="293" spans="1:24" ht="16.5" hidden="1" customHeight="1" x14ac:dyDescent="0.2">
      <c r="A293" s="141"/>
      <c r="B293" s="141"/>
      <c r="C293" s="99" t="s">
        <v>11</v>
      </c>
      <c r="D293" s="69">
        <f t="shared" si="104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1"/>
      <c r="B294" s="141"/>
      <c r="C294" s="99" t="s">
        <v>12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21.75" hidden="1" customHeight="1" x14ac:dyDescent="0.2">
      <c r="A295" s="141"/>
      <c r="B295" s="141"/>
      <c r="C295" s="94" t="s">
        <v>13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15.75" hidden="1" x14ac:dyDescent="0.2">
      <c r="A296" s="140"/>
      <c r="B296" s="140" t="s">
        <v>300</v>
      </c>
      <c r="C296" s="94" t="s">
        <v>7</v>
      </c>
      <c r="D296" s="69">
        <f t="shared" si="104"/>
        <v>0</v>
      </c>
      <c r="E296" s="69">
        <f t="shared" ref="E296:O296" si="121">E297+E298+E299+E300</f>
        <v>0</v>
      </c>
      <c r="F296" s="69">
        <f t="shared" si="121"/>
        <v>0</v>
      </c>
      <c r="G296" s="69">
        <f t="shared" si="121"/>
        <v>0</v>
      </c>
      <c r="H296" s="69">
        <f t="shared" si="121"/>
        <v>0</v>
      </c>
      <c r="I296" s="69">
        <f t="shared" si="121"/>
        <v>0</v>
      </c>
      <c r="J296" s="69">
        <f t="shared" si="121"/>
        <v>0</v>
      </c>
      <c r="K296" s="69">
        <f t="shared" si="121"/>
        <v>0</v>
      </c>
      <c r="L296" s="69">
        <f t="shared" si="121"/>
        <v>0</v>
      </c>
      <c r="M296" s="69">
        <f t="shared" si="121"/>
        <v>0</v>
      </c>
      <c r="N296" s="69">
        <f t="shared" si="121"/>
        <v>0</v>
      </c>
      <c r="O296" s="69">
        <f t="shared" si="121"/>
        <v>0</v>
      </c>
      <c r="W296" s="69">
        <f t="shared" ref="W296" si="122">W297+W298+W299+W300</f>
        <v>0</v>
      </c>
    </row>
    <row r="297" spans="1:24" ht="16.5" hidden="1" customHeight="1" x14ac:dyDescent="0.2">
      <c r="A297" s="141"/>
      <c r="B297" s="141"/>
      <c r="C297" s="99" t="s">
        <v>10</v>
      </c>
      <c r="D297" s="69">
        <f t="shared" si="104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  <c r="W297" s="69">
        <v>0</v>
      </c>
    </row>
    <row r="298" spans="1:24" ht="16.5" hidden="1" customHeight="1" x14ac:dyDescent="0.2">
      <c r="A298" s="141"/>
      <c r="B298" s="141"/>
      <c r="C298" s="99" t="s">
        <v>11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1"/>
      <c r="B299" s="141"/>
      <c r="C299" s="99" t="s">
        <v>12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24" hidden="1" customHeight="1" x14ac:dyDescent="0.2">
      <c r="A300" s="141"/>
      <c r="B300" s="141"/>
      <c r="C300" s="94" t="s">
        <v>13</v>
      </c>
      <c r="D300" s="69">
        <f t="shared" ref="D300:D363" si="123">E300+F300+G300+H300+I300+J300+K300+L300+M300+N300+O300+W300</f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s="80" customFormat="1" ht="24.75" customHeight="1" x14ac:dyDescent="0.2">
      <c r="A301" s="134" t="s">
        <v>338</v>
      </c>
      <c r="B301" s="134" t="s">
        <v>374</v>
      </c>
      <c r="C301" s="94" t="s">
        <v>7</v>
      </c>
      <c r="D301" s="69">
        <f t="shared" si="123"/>
        <v>75259.7</v>
      </c>
      <c r="E301" s="69">
        <f>E302+E303+E304+E305</f>
        <v>0</v>
      </c>
      <c r="F301" s="69">
        <f t="shared" ref="F301:O301" si="124">F302+F303+F304+F305</f>
        <v>0</v>
      </c>
      <c r="G301" s="69">
        <f t="shared" si="124"/>
        <v>0</v>
      </c>
      <c r="H301" s="69">
        <f t="shared" si="124"/>
        <v>0</v>
      </c>
      <c r="I301" s="69">
        <f t="shared" si="124"/>
        <v>0</v>
      </c>
      <c r="J301" s="69">
        <f t="shared" si="124"/>
        <v>0</v>
      </c>
      <c r="K301" s="69">
        <f t="shared" si="124"/>
        <v>75259.7</v>
      </c>
      <c r="L301" s="69">
        <f t="shared" si="124"/>
        <v>0</v>
      </c>
      <c r="M301" s="69">
        <f t="shared" si="124"/>
        <v>0</v>
      </c>
      <c r="N301" s="69">
        <f t="shared" si="124"/>
        <v>0</v>
      </c>
      <c r="O301" s="69">
        <f t="shared" si="124"/>
        <v>0</v>
      </c>
      <c r="W301" s="69">
        <f t="shared" ref="W301" si="125">W302+W303+W304+W305</f>
        <v>0</v>
      </c>
    </row>
    <row r="302" spans="1:24" s="80" customFormat="1" ht="24.75" customHeight="1" x14ac:dyDescent="0.2">
      <c r="A302" s="135"/>
      <c r="B302" s="135"/>
      <c r="C302" s="99" t="s">
        <v>10</v>
      </c>
      <c r="D302" s="69">
        <f t="shared" si="123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  <c r="W302" s="69">
        <v>0</v>
      </c>
    </row>
    <row r="303" spans="1:24" s="80" customFormat="1" ht="24.75" customHeight="1" x14ac:dyDescent="0.2">
      <c r="A303" s="135"/>
      <c r="B303" s="135"/>
      <c r="C303" s="99" t="s">
        <v>11</v>
      </c>
      <c r="D303" s="69">
        <f t="shared" si="123"/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26">44738.1-44738.1</f>
        <v>0</v>
      </c>
      <c r="N303" s="69">
        <f t="shared" si="126"/>
        <v>0</v>
      </c>
      <c r="O303" s="69">
        <v>0</v>
      </c>
      <c r="W303" s="69">
        <v>0</v>
      </c>
      <c r="X303" s="81"/>
    </row>
    <row r="304" spans="1:24" s="80" customFormat="1" ht="24.75" customHeight="1" x14ac:dyDescent="0.2">
      <c r="A304" s="135"/>
      <c r="B304" s="135"/>
      <c r="C304" s="99" t="s">
        <v>12</v>
      </c>
      <c r="D304" s="69">
        <f t="shared" si="123"/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  <c r="W304" s="69">
        <v>0</v>
      </c>
    </row>
    <row r="305" spans="1:23" s="80" customFormat="1" ht="38.25" customHeight="1" x14ac:dyDescent="0.2">
      <c r="A305" s="136"/>
      <c r="B305" s="136"/>
      <c r="C305" s="94" t="s">
        <v>13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22.5" customHeight="1" x14ac:dyDescent="0.2">
      <c r="A306" s="140" t="s">
        <v>345</v>
      </c>
      <c r="B306" s="140" t="s">
        <v>456</v>
      </c>
      <c r="C306" s="99" t="s">
        <v>7</v>
      </c>
      <c r="D306" s="69">
        <f t="shared" si="123"/>
        <v>553.4</v>
      </c>
      <c r="E306" s="69">
        <f>E307+E308+E309+E310</f>
        <v>0</v>
      </c>
      <c r="F306" s="69">
        <f t="shared" ref="F306:L306" si="127">F307+F308+F309+F310</f>
        <v>0</v>
      </c>
      <c r="G306" s="69">
        <f t="shared" si="127"/>
        <v>0</v>
      </c>
      <c r="H306" s="69">
        <f t="shared" si="127"/>
        <v>0</v>
      </c>
      <c r="I306" s="69">
        <f t="shared" si="127"/>
        <v>0</v>
      </c>
      <c r="J306" s="69">
        <f t="shared" si="127"/>
        <v>0</v>
      </c>
      <c r="K306" s="69">
        <f t="shared" si="127"/>
        <v>553.4</v>
      </c>
      <c r="L306" s="69">
        <f t="shared" si="127"/>
        <v>0</v>
      </c>
      <c r="M306" s="69">
        <f t="shared" ref="M306" si="128">M307+M308+M309+M310</f>
        <v>0</v>
      </c>
      <c r="N306" s="69">
        <f t="shared" ref="N306" si="129">N307+N308+N309+N310</f>
        <v>0</v>
      </c>
      <c r="O306" s="69">
        <f t="shared" ref="O306" si="130">O307+O308+O309+O310</f>
        <v>0</v>
      </c>
      <c r="W306" s="69">
        <f t="shared" ref="W306" si="131">W307+W308+W309+W310</f>
        <v>0</v>
      </c>
    </row>
    <row r="307" spans="1:23" s="80" customFormat="1" ht="22.5" customHeight="1" x14ac:dyDescent="0.2">
      <c r="A307" s="141"/>
      <c r="B307" s="140"/>
      <c r="C307" s="94" t="s">
        <v>10</v>
      </c>
      <c r="D307" s="69">
        <f t="shared" si="123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  <c r="W307" s="69">
        <v>0</v>
      </c>
    </row>
    <row r="308" spans="1:23" s="80" customFormat="1" ht="22.5" customHeight="1" x14ac:dyDescent="0.2">
      <c r="A308" s="141"/>
      <c r="B308" s="140"/>
      <c r="C308" s="94" t="s">
        <v>11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1"/>
      <c r="B309" s="140"/>
      <c r="C309" s="94" t="s">
        <v>12</v>
      </c>
      <c r="D309" s="69">
        <f t="shared" si="123"/>
        <v>553.4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69">
        <f>1574.3-269.9-1304.4</f>
        <v>0</v>
      </c>
      <c r="N309" s="69">
        <v>0</v>
      </c>
      <c r="O309" s="69">
        <v>0</v>
      </c>
      <c r="W309" s="69">
        <v>0</v>
      </c>
    </row>
    <row r="310" spans="1:23" s="80" customFormat="1" ht="33.75" customHeight="1" x14ac:dyDescent="0.2">
      <c r="A310" s="141"/>
      <c r="B310" s="140"/>
      <c r="C310" s="94" t="s">
        <v>13</v>
      </c>
      <c r="D310" s="69">
        <f t="shared" si="123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  <c r="W310" s="69">
        <v>0</v>
      </c>
    </row>
    <row r="311" spans="1:23" s="80" customFormat="1" ht="18.75" customHeight="1" x14ac:dyDescent="0.2">
      <c r="A311" s="140" t="s">
        <v>347</v>
      </c>
      <c r="B311" s="140" t="s">
        <v>382</v>
      </c>
      <c r="C311" s="99" t="s">
        <v>7</v>
      </c>
      <c r="D311" s="69">
        <f t="shared" si="123"/>
        <v>34408.799999999996</v>
      </c>
      <c r="E311" s="69">
        <f>E312+E313+E314+E315</f>
        <v>0</v>
      </c>
      <c r="F311" s="69">
        <f t="shared" ref="F311:O311" si="132">F312+F313+F314+F315</f>
        <v>0</v>
      </c>
      <c r="G311" s="69">
        <f t="shared" si="132"/>
        <v>0</v>
      </c>
      <c r="H311" s="69">
        <f t="shared" si="132"/>
        <v>0</v>
      </c>
      <c r="I311" s="69">
        <f t="shared" si="132"/>
        <v>0</v>
      </c>
      <c r="J311" s="69">
        <f t="shared" si="132"/>
        <v>0</v>
      </c>
      <c r="K311" s="69">
        <f t="shared" si="132"/>
        <v>2648</v>
      </c>
      <c r="L311" s="69">
        <f t="shared" si="132"/>
        <v>1101.0999999999999</v>
      </c>
      <c r="M311" s="69">
        <f t="shared" si="132"/>
        <v>30659.699999999993</v>
      </c>
      <c r="N311" s="69">
        <f t="shared" si="132"/>
        <v>0</v>
      </c>
      <c r="O311" s="69">
        <f t="shared" si="132"/>
        <v>0</v>
      </c>
      <c r="W311" s="69">
        <f t="shared" ref="W311" si="133">W312+W313+W314+W315</f>
        <v>0</v>
      </c>
    </row>
    <row r="312" spans="1:23" s="80" customFormat="1" ht="18.75" customHeight="1" x14ac:dyDescent="0.2">
      <c r="A312" s="141"/>
      <c r="B312" s="140"/>
      <c r="C312" s="94" t="s">
        <v>10</v>
      </c>
      <c r="D312" s="69">
        <f t="shared" si="123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  <c r="W312" s="69">
        <v>0</v>
      </c>
    </row>
    <row r="313" spans="1:23" s="80" customFormat="1" ht="18.75" customHeight="1" x14ac:dyDescent="0.2">
      <c r="A313" s="141"/>
      <c r="B313" s="140"/>
      <c r="C313" s="94" t="s">
        <v>11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1"/>
      <c r="B314" s="140"/>
      <c r="C314" s="94" t="s">
        <v>12</v>
      </c>
      <c r="D314" s="69">
        <f t="shared" si="123"/>
        <v>34408.799999999996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416+38300-2760.9-599-146.9-1574.3-2975.2</f>
        <v>30659.699999999993</v>
      </c>
      <c r="N314" s="69">
        <v>0</v>
      </c>
      <c r="O314" s="69">
        <v>0</v>
      </c>
      <c r="W314" s="69">
        <v>0</v>
      </c>
    </row>
    <row r="315" spans="1:23" s="80" customFormat="1" ht="33.75" customHeight="1" x14ac:dyDescent="0.2">
      <c r="A315" s="141"/>
      <c r="B315" s="140"/>
      <c r="C315" s="94" t="s">
        <v>13</v>
      </c>
      <c r="D315" s="69">
        <f t="shared" si="123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  <c r="W315" s="69">
        <v>0</v>
      </c>
    </row>
    <row r="316" spans="1:23" s="80" customFormat="1" ht="18.75" customHeight="1" x14ac:dyDescent="0.2">
      <c r="A316" s="134" t="s">
        <v>407</v>
      </c>
      <c r="B316" s="134" t="s">
        <v>388</v>
      </c>
      <c r="C316" s="99" t="s">
        <v>7</v>
      </c>
      <c r="D316" s="69">
        <f t="shared" si="123"/>
        <v>251.1</v>
      </c>
      <c r="E316" s="69">
        <f t="shared" ref="E316:J316" si="134">SUM(E317:E320)</f>
        <v>0</v>
      </c>
      <c r="F316" s="69">
        <f t="shared" si="134"/>
        <v>0</v>
      </c>
      <c r="G316" s="69">
        <f t="shared" si="134"/>
        <v>0</v>
      </c>
      <c r="H316" s="69">
        <f t="shared" si="134"/>
        <v>0</v>
      </c>
      <c r="I316" s="69">
        <f t="shared" si="134"/>
        <v>0</v>
      </c>
      <c r="J316" s="69">
        <f t="shared" si="134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  <c r="W316" s="69">
        <v>0</v>
      </c>
    </row>
    <row r="317" spans="1:23" s="80" customFormat="1" ht="18.75" customHeight="1" x14ac:dyDescent="0.2">
      <c r="A317" s="135"/>
      <c r="B317" s="135"/>
      <c r="C317" s="94" t="s">
        <v>10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35"/>
      <c r="B318" s="135"/>
      <c r="C318" s="94" t="s">
        <v>11</v>
      </c>
      <c r="D318" s="69">
        <f t="shared" si="123"/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35"/>
      <c r="B319" s="135"/>
      <c r="C319" s="94" t="s">
        <v>12</v>
      </c>
      <c r="D319" s="69">
        <f t="shared" si="123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35.25" customHeight="1" x14ac:dyDescent="0.2">
      <c r="A320" s="136"/>
      <c r="B320" s="136"/>
      <c r="C320" s="94" t="s">
        <v>13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hidden="1" customHeight="1" x14ac:dyDescent="0.2">
      <c r="A321" s="134"/>
      <c r="B321" s="134" t="s">
        <v>400</v>
      </c>
      <c r="C321" s="99" t="s">
        <v>7</v>
      </c>
      <c r="D321" s="69">
        <f t="shared" si="123"/>
        <v>0</v>
      </c>
      <c r="E321" s="69">
        <f t="shared" ref="E321:J321" si="135">SUM(E322:E325)</f>
        <v>0</v>
      </c>
      <c r="F321" s="69">
        <f t="shared" si="135"/>
        <v>0</v>
      </c>
      <c r="G321" s="69">
        <f t="shared" si="135"/>
        <v>0</v>
      </c>
      <c r="H321" s="69">
        <f t="shared" si="135"/>
        <v>0</v>
      </c>
      <c r="I321" s="69">
        <f t="shared" si="135"/>
        <v>0</v>
      </c>
      <c r="J321" s="69">
        <f t="shared" si="135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18.75" hidden="1" customHeight="1" x14ac:dyDescent="0.2">
      <c r="A322" s="135"/>
      <c r="B322" s="135"/>
      <c r="C322" s="94" t="s">
        <v>10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35"/>
      <c r="B323" s="135"/>
      <c r="C323" s="94" t="s">
        <v>11</v>
      </c>
      <c r="D323" s="69">
        <f t="shared" si="123"/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35"/>
      <c r="B324" s="135"/>
      <c r="C324" s="94" t="s">
        <v>12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36"/>
      <c r="B325" s="136"/>
      <c r="C325" s="94" t="s">
        <v>13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customHeight="1" x14ac:dyDescent="0.2">
      <c r="A326" s="134" t="s">
        <v>405</v>
      </c>
      <c r="B326" s="134" t="s">
        <v>406</v>
      </c>
      <c r="C326" s="99" t="s">
        <v>7</v>
      </c>
      <c r="D326" s="69">
        <f t="shared" si="123"/>
        <v>994.1</v>
      </c>
      <c r="E326" s="69">
        <f t="shared" ref="E326:J326" si="136">SUM(E327:E330)</f>
        <v>0</v>
      </c>
      <c r="F326" s="69">
        <f t="shared" si="136"/>
        <v>0</v>
      </c>
      <c r="G326" s="69">
        <f t="shared" si="136"/>
        <v>0</v>
      </c>
      <c r="H326" s="69">
        <f t="shared" si="136"/>
        <v>0</v>
      </c>
      <c r="I326" s="69">
        <f t="shared" si="136"/>
        <v>0</v>
      </c>
      <c r="J326" s="69">
        <f t="shared" si="136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customHeight="1" x14ac:dyDescent="0.2">
      <c r="A327" s="135"/>
      <c r="B327" s="135"/>
      <c r="C327" s="94" t="s">
        <v>10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  <c r="W327" s="69">
        <v>0</v>
      </c>
    </row>
    <row r="328" spans="1:23" s="80" customFormat="1" ht="18.75" customHeight="1" x14ac:dyDescent="0.2">
      <c r="A328" s="135"/>
      <c r="B328" s="135"/>
      <c r="C328" s="94" t="s">
        <v>11</v>
      </c>
      <c r="D328" s="69">
        <f t="shared" si="123"/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  <c r="W328" s="69">
        <v>0</v>
      </c>
    </row>
    <row r="329" spans="1:23" s="80" customFormat="1" ht="18.75" customHeight="1" x14ac:dyDescent="0.2">
      <c r="A329" s="135"/>
      <c r="B329" s="135"/>
      <c r="C329" s="94" t="s">
        <v>12</v>
      </c>
      <c r="D329" s="69">
        <f t="shared" si="123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33.75" customHeight="1" x14ac:dyDescent="0.2">
      <c r="A330" s="136"/>
      <c r="B330" s="136"/>
      <c r="C330" s="94" t="s">
        <v>13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34" t="s">
        <v>380</v>
      </c>
      <c r="B331" s="134" t="s">
        <v>418</v>
      </c>
      <c r="C331" s="99" t="s">
        <v>7</v>
      </c>
      <c r="D331" s="69">
        <f t="shared" si="123"/>
        <v>1269013.2</v>
      </c>
      <c r="E331" s="69">
        <f t="shared" ref="E331:J331" si="137">SUM(E332:E335)</f>
        <v>0</v>
      </c>
      <c r="F331" s="69">
        <f t="shared" si="137"/>
        <v>0</v>
      </c>
      <c r="G331" s="69">
        <f t="shared" si="137"/>
        <v>0</v>
      </c>
      <c r="H331" s="69">
        <f t="shared" si="137"/>
        <v>0</v>
      </c>
      <c r="I331" s="69">
        <f t="shared" si="137"/>
        <v>0</v>
      </c>
      <c r="J331" s="69">
        <f t="shared" si="137"/>
        <v>0</v>
      </c>
      <c r="K331" s="69">
        <f>SUM(K332:K335)</f>
        <v>0</v>
      </c>
      <c r="L331" s="69">
        <f t="shared" ref="L331:O331" si="138">SUM(L332:L335)</f>
        <v>429013.19999999995</v>
      </c>
      <c r="M331" s="69">
        <f t="shared" si="138"/>
        <v>840000</v>
      </c>
      <c r="N331" s="69">
        <f t="shared" si="138"/>
        <v>0</v>
      </c>
      <c r="O331" s="69">
        <f t="shared" si="138"/>
        <v>0</v>
      </c>
      <c r="P331" s="75"/>
      <c r="Q331" s="75"/>
      <c r="R331" s="75"/>
      <c r="S331" s="75"/>
      <c r="T331" s="75"/>
      <c r="U331" s="75"/>
      <c r="V331" s="75"/>
      <c r="W331" s="69">
        <f t="shared" ref="W331" si="139">SUM(W332:W335)</f>
        <v>0</v>
      </c>
    </row>
    <row r="332" spans="1:23" s="80" customFormat="1" ht="18.75" customHeight="1" x14ac:dyDescent="0.2">
      <c r="A332" s="135"/>
      <c r="B332" s="135"/>
      <c r="C332" s="94" t="s">
        <v>10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  <c r="W332" s="69">
        <v>0</v>
      </c>
    </row>
    <row r="333" spans="1:23" s="80" customFormat="1" ht="18.75" customHeight="1" x14ac:dyDescent="0.2">
      <c r="A333" s="135"/>
      <c r="B333" s="135"/>
      <c r="C333" s="94" t="s">
        <v>11</v>
      </c>
      <c r="D333" s="69">
        <f t="shared" si="123"/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40">M338+M343</f>
        <v>831600</v>
      </c>
      <c r="N333" s="69">
        <f t="shared" si="140"/>
        <v>0</v>
      </c>
      <c r="O333" s="69">
        <f t="shared" si="140"/>
        <v>0</v>
      </c>
      <c r="P333" s="69">
        <f t="shared" si="140"/>
        <v>0</v>
      </c>
      <c r="Q333" s="69">
        <f t="shared" si="140"/>
        <v>0</v>
      </c>
      <c r="R333" s="69">
        <f t="shared" si="140"/>
        <v>0</v>
      </c>
      <c r="S333" s="69">
        <f t="shared" si="140"/>
        <v>0</v>
      </c>
      <c r="T333" s="69">
        <f t="shared" si="140"/>
        <v>0</v>
      </c>
      <c r="U333" s="69">
        <f t="shared" si="140"/>
        <v>0</v>
      </c>
      <c r="V333" s="69">
        <f t="shared" si="140"/>
        <v>0</v>
      </c>
      <c r="W333" s="69">
        <f t="shared" ref="W333" si="141">W338+W343</f>
        <v>0</v>
      </c>
    </row>
    <row r="334" spans="1:23" s="80" customFormat="1" ht="18.75" customHeight="1" x14ac:dyDescent="0.2">
      <c r="A334" s="135"/>
      <c r="B334" s="135"/>
      <c r="C334" s="94" t="s">
        <v>12</v>
      </c>
      <c r="D334" s="69">
        <f t="shared" si="123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42">M339++M344</f>
        <v>8400</v>
      </c>
      <c r="N334" s="69">
        <f t="shared" si="142"/>
        <v>0</v>
      </c>
      <c r="O334" s="69">
        <f t="shared" si="142"/>
        <v>0</v>
      </c>
      <c r="P334" s="75"/>
      <c r="Q334" s="75"/>
      <c r="R334" s="75"/>
      <c r="S334" s="75"/>
      <c r="T334" s="75"/>
      <c r="U334" s="75"/>
      <c r="V334" s="75"/>
      <c r="W334" s="69">
        <f t="shared" ref="W334" si="143">W339++W344</f>
        <v>0</v>
      </c>
    </row>
    <row r="335" spans="1:23" s="80" customFormat="1" ht="36.75" customHeight="1" x14ac:dyDescent="0.2">
      <c r="A335" s="136"/>
      <c r="B335" s="136"/>
      <c r="C335" s="94" t="s">
        <v>13</v>
      </c>
      <c r="D335" s="69">
        <f t="shared" si="123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  <c r="W335" s="69">
        <v>0</v>
      </c>
    </row>
    <row r="336" spans="1:23" s="80" customFormat="1" ht="21" customHeight="1" x14ac:dyDescent="0.2">
      <c r="A336" s="134" t="s">
        <v>425</v>
      </c>
      <c r="B336" s="134" t="s">
        <v>417</v>
      </c>
      <c r="C336" s="99" t="s">
        <v>7</v>
      </c>
      <c r="D336" s="69">
        <f t="shared" si="123"/>
        <v>1200000</v>
      </c>
      <c r="E336" s="69">
        <f t="shared" ref="E336:J336" si="144">SUM(E337:E340)</f>
        <v>0</v>
      </c>
      <c r="F336" s="69">
        <f t="shared" si="144"/>
        <v>0</v>
      </c>
      <c r="G336" s="69">
        <f t="shared" si="144"/>
        <v>0</v>
      </c>
      <c r="H336" s="69">
        <f t="shared" si="144"/>
        <v>0</v>
      </c>
      <c r="I336" s="69">
        <f t="shared" si="144"/>
        <v>0</v>
      </c>
      <c r="J336" s="69">
        <f t="shared" si="144"/>
        <v>0</v>
      </c>
      <c r="K336" s="69">
        <f>SUM(K337:K340)</f>
        <v>0</v>
      </c>
      <c r="L336" s="69">
        <f t="shared" ref="L336:O336" si="145">SUM(L337:L340)</f>
        <v>360000</v>
      </c>
      <c r="M336" s="69">
        <f t="shared" si="145"/>
        <v>840000</v>
      </c>
      <c r="N336" s="69">
        <f t="shared" si="145"/>
        <v>0</v>
      </c>
      <c r="O336" s="69">
        <f t="shared" si="145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6">SUM(W337:W340)</f>
        <v>0</v>
      </c>
    </row>
    <row r="337" spans="1:23" s="80" customFormat="1" ht="21" customHeight="1" x14ac:dyDescent="0.2">
      <c r="A337" s="135"/>
      <c r="B337" s="135"/>
      <c r="C337" s="94" t="s">
        <v>10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35"/>
      <c r="B338" s="135"/>
      <c r="C338" s="94" t="s">
        <v>11</v>
      </c>
      <c r="D338" s="69">
        <f t="shared" si="123"/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  <c r="W338" s="69">
        <v>0</v>
      </c>
    </row>
    <row r="339" spans="1:23" s="80" customFormat="1" ht="21" customHeight="1" x14ac:dyDescent="0.2">
      <c r="A339" s="135"/>
      <c r="B339" s="135"/>
      <c r="C339" s="94" t="s">
        <v>12</v>
      </c>
      <c r="D339" s="69">
        <f t="shared" si="123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30.75" customHeight="1" x14ac:dyDescent="0.2">
      <c r="A340" s="136"/>
      <c r="B340" s="136"/>
      <c r="C340" s="94" t="s">
        <v>13</v>
      </c>
      <c r="D340" s="69">
        <f t="shared" si="123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34" t="s">
        <v>426</v>
      </c>
      <c r="B341" s="134" t="s">
        <v>414</v>
      </c>
      <c r="C341" s="99" t="s">
        <v>7</v>
      </c>
      <c r="D341" s="69">
        <f t="shared" si="123"/>
        <v>69013.200000000012</v>
      </c>
      <c r="E341" s="69">
        <f t="shared" ref="E341:J341" si="147">SUM(E342:E345)</f>
        <v>0</v>
      </c>
      <c r="F341" s="69">
        <f t="shared" si="147"/>
        <v>0</v>
      </c>
      <c r="G341" s="69">
        <f t="shared" si="147"/>
        <v>0</v>
      </c>
      <c r="H341" s="69">
        <f t="shared" si="147"/>
        <v>0</v>
      </c>
      <c r="I341" s="69">
        <f t="shared" si="147"/>
        <v>0</v>
      </c>
      <c r="J341" s="69">
        <f t="shared" si="147"/>
        <v>0</v>
      </c>
      <c r="K341" s="69">
        <f>SUM(K342:K345)</f>
        <v>0</v>
      </c>
      <c r="L341" s="69">
        <f t="shared" ref="L341:O341" si="148">SUM(L342:L345)</f>
        <v>69013.200000000012</v>
      </c>
      <c r="M341" s="69">
        <f t="shared" si="148"/>
        <v>0</v>
      </c>
      <c r="N341" s="69">
        <f t="shared" si="148"/>
        <v>0</v>
      </c>
      <c r="O341" s="69">
        <f t="shared" si="148"/>
        <v>0</v>
      </c>
      <c r="P341" s="75"/>
      <c r="Q341" s="75"/>
      <c r="R341" s="75"/>
      <c r="S341" s="75"/>
      <c r="T341" s="75"/>
      <c r="U341" s="75"/>
      <c r="V341" s="75"/>
      <c r="W341" s="69">
        <f t="shared" ref="W341" si="149">SUM(W342:W345)</f>
        <v>0</v>
      </c>
    </row>
    <row r="342" spans="1:23" s="80" customFormat="1" ht="21" customHeight="1" x14ac:dyDescent="0.2">
      <c r="A342" s="135"/>
      <c r="B342" s="135"/>
      <c r="C342" s="94" t="s">
        <v>10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35"/>
      <c r="B343" s="135"/>
      <c r="C343" s="94" t="s">
        <v>11</v>
      </c>
      <c r="D343" s="69">
        <f t="shared" si="123"/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  <c r="W343" s="69">
        <v>0</v>
      </c>
    </row>
    <row r="344" spans="1:23" s="80" customFormat="1" ht="21" customHeight="1" x14ac:dyDescent="0.2">
      <c r="A344" s="135"/>
      <c r="B344" s="135"/>
      <c r="C344" s="94" t="s">
        <v>12</v>
      </c>
      <c r="D344" s="69">
        <f t="shared" si="123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36" customHeight="1" x14ac:dyDescent="0.2">
      <c r="A345" s="136"/>
      <c r="B345" s="136"/>
      <c r="C345" s="94" t="s">
        <v>13</v>
      </c>
      <c r="D345" s="69">
        <f t="shared" si="123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18.75" customHeight="1" x14ac:dyDescent="0.2">
      <c r="A346" s="134" t="s">
        <v>381</v>
      </c>
      <c r="B346" s="134" t="s">
        <v>409</v>
      </c>
      <c r="C346" s="99" t="s">
        <v>7</v>
      </c>
      <c r="D346" s="69">
        <f t="shared" si="123"/>
        <v>573127.9</v>
      </c>
      <c r="E346" s="69">
        <f t="shared" ref="E346:J346" si="150">SUM(E347:E350)</f>
        <v>0</v>
      </c>
      <c r="F346" s="69">
        <f t="shared" si="150"/>
        <v>0</v>
      </c>
      <c r="G346" s="69">
        <f t="shared" si="150"/>
        <v>0</v>
      </c>
      <c r="H346" s="69">
        <f t="shared" si="150"/>
        <v>0</v>
      </c>
      <c r="I346" s="69">
        <f t="shared" si="150"/>
        <v>0</v>
      </c>
      <c r="J346" s="69">
        <f t="shared" si="150"/>
        <v>0</v>
      </c>
      <c r="K346" s="69">
        <f>SUM(K347:K350)</f>
        <v>0</v>
      </c>
      <c r="L346" s="69">
        <f t="shared" ref="L346:N346" si="151">SUM(L347:L350)</f>
        <v>152212.40000000002</v>
      </c>
      <c r="M346" s="69">
        <f>SUM(M347:M350)</f>
        <v>155597</v>
      </c>
      <c r="N346" s="69">
        <f t="shared" si="151"/>
        <v>80294.3</v>
      </c>
      <c r="O346" s="69">
        <f t="shared" ref="O346" si="152">SUM(O347:O350)</f>
        <v>170146.2</v>
      </c>
      <c r="P346" s="75"/>
      <c r="Q346" s="75"/>
      <c r="R346" s="75"/>
      <c r="S346" s="75"/>
      <c r="T346" s="75"/>
      <c r="U346" s="75"/>
      <c r="V346" s="75"/>
      <c r="W346" s="69">
        <f t="shared" ref="W346" si="153">SUM(W347:W350)</f>
        <v>14878</v>
      </c>
    </row>
    <row r="347" spans="1:23" s="80" customFormat="1" ht="18.75" customHeight="1" x14ac:dyDescent="0.2">
      <c r="A347" s="135"/>
      <c r="B347" s="135"/>
      <c r="C347" s="94" t="s">
        <v>10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35"/>
      <c r="B348" s="135"/>
      <c r="C348" s="94" t="s">
        <v>11</v>
      </c>
      <c r="D348" s="69">
        <f t="shared" si="123"/>
        <v>538740.20000000007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108572.1-34465.5+33498.5+28656.1+10000</f>
        <v>146261.20000000001</v>
      </c>
      <c r="N348" s="69">
        <f>114543.6-4523.5+6650.1-41193.6</f>
        <v>75476.600000000006</v>
      </c>
      <c r="O348" s="69">
        <f>114543.6+7473+37920.8</f>
        <v>159937.40000000002</v>
      </c>
      <c r="P348" s="75"/>
      <c r="Q348" s="75"/>
      <c r="R348" s="75"/>
      <c r="S348" s="75"/>
      <c r="T348" s="75"/>
      <c r="U348" s="75"/>
      <c r="V348" s="75"/>
      <c r="W348" s="69">
        <v>13985.3</v>
      </c>
    </row>
    <row r="349" spans="1:23" s="80" customFormat="1" ht="18.75" customHeight="1" x14ac:dyDescent="0.2">
      <c r="A349" s="135"/>
      <c r="B349" s="135"/>
      <c r="C349" s="94" t="s">
        <v>12</v>
      </c>
      <c r="D349" s="69">
        <f t="shared" si="123"/>
        <v>34387.699999999997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6656.4-1926.2-108+2246.2+448+1381.1+638.3</f>
        <v>9335.7999999999993</v>
      </c>
      <c r="N349" s="69">
        <f>7311.3-288.7+424.4-2629.3</f>
        <v>4817.7</v>
      </c>
      <c r="O349" s="69">
        <f>7311.3+477+2420.5</f>
        <v>10208.799999999999</v>
      </c>
      <c r="P349" s="75"/>
      <c r="Q349" s="75"/>
      <c r="R349" s="75"/>
      <c r="S349" s="75"/>
      <c r="T349" s="75"/>
      <c r="U349" s="75"/>
      <c r="V349" s="75"/>
      <c r="W349" s="69">
        <v>892.7</v>
      </c>
    </row>
    <row r="350" spans="1:23" s="80" customFormat="1" ht="33.75" customHeight="1" x14ac:dyDescent="0.2">
      <c r="A350" s="136"/>
      <c r="B350" s="136"/>
      <c r="C350" s="94" t="s">
        <v>13</v>
      </c>
      <c r="D350" s="69">
        <f t="shared" si="123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  <c r="W350" s="69">
        <v>0</v>
      </c>
    </row>
    <row r="351" spans="1:23" s="80" customFormat="1" ht="18.75" customHeight="1" x14ac:dyDescent="0.2">
      <c r="A351" s="134" t="s">
        <v>408</v>
      </c>
      <c r="B351" s="134" t="s">
        <v>411</v>
      </c>
      <c r="C351" s="99" t="s">
        <v>7</v>
      </c>
      <c r="D351" s="69">
        <f t="shared" si="123"/>
        <v>2577072.7000000002</v>
      </c>
      <c r="E351" s="69">
        <f t="shared" ref="E351:J351" si="154">SUM(E352:E355)</f>
        <v>0</v>
      </c>
      <c r="F351" s="69">
        <f t="shared" si="154"/>
        <v>0</v>
      </c>
      <c r="G351" s="69">
        <f t="shared" si="154"/>
        <v>0</v>
      </c>
      <c r="H351" s="69">
        <f t="shared" si="154"/>
        <v>0</v>
      </c>
      <c r="I351" s="69">
        <f t="shared" si="154"/>
        <v>0</v>
      </c>
      <c r="J351" s="69">
        <f t="shared" si="154"/>
        <v>0</v>
      </c>
      <c r="K351" s="69">
        <f>SUM(K352:K355)</f>
        <v>0</v>
      </c>
      <c r="L351" s="69">
        <f t="shared" ref="L351:O351" si="155">SUM(L352:L355)</f>
        <v>808080.8</v>
      </c>
      <c r="M351" s="69">
        <f t="shared" si="155"/>
        <v>1768991.9</v>
      </c>
      <c r="N351" s="69">
        <f t="shared" si="155"/>
        <v>0</v>
      </c>
      <c r="O351" s="69">
        <f t="shared" si="155"/>
        <v>0</v>
      </c>
      <c r="P351" s="75"/>
      <c r="Q351" s="75"/>
      <c r="R351" s="75"/>
      <c r="S351" s="75"/>
      <c r="T351" s="75"/>
      <c r="U351" s="75"/>
      <c r="V351" s="75"/>
      <c r="W351" s="69">
        <f t="shared" ref="W351" si="156">SUM(W352:W355)</f>
        <v>0</v>
      </c>
    </row>
    <row r="352" spans="1:23" s="80" customFormat="1" ht="18.75" customHeight="1" x14ac:dyDescent="0.2">
      <c r="A352" s="135"/>
      <c r="B352" s="135"/>
      <c r="C352" s="94" t="s">
        <v>10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35"/>
      <c r="B353" s="135"/>
      <c r="C353" s="94" t="s">
        <v>11</v>
      </c>
      <c r="D353" s="69">
        <f t="shared" si="123"/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  <c r="W353" s="69">
        <v>0</v>
      </c>
    </row>
    <row r="354" spans="1:23" s="80" customFormat="1" ht="18.75" customHeight="1" x14ac:dyDescent="0.2">
      <c r="A354" s="135"/>
      <c r="B354" s="135"/>
      <c r="C354" s="94" t="s">
        <v>12</v>
      </c>
      <c r="D354" s="69">
        <f t="shared" si="123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f>17689.9</f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37.5" customHeight="1" x14ac:dyDescent="0.2">
      <c r="A355" s="136"/>
      <c r="B355" s="136"/>
      <c r="C355" s="94" t="s">
        <v>13</v>
      </c>
      <c r="D355" s="69">
        <f t="shared" si="123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83" t="s">
        <v>437</v>
      </c>
      <c r="B356" s="134" t="s">
        <v>438</v>
      </c>
      <c r="C356" s="99" t="s">
        <v>7</v>
      </c>
      <c r="D356" s="69">
        <f t="shared" si="123"/>
        <v>2577072.7000000002</v>
      </c>
      <c r="E356" s="69">
        <f t="shared" ref="E356:J356" si="157">SUM(E357:E360)</f>
        <v>0</v>
      </c>
      <c r="F356" s="69">
        <f t="shared" si="157"/>
        <v>0</v>
      </c>
      <c r="G356" s="69">
        <f t="shared" si="157"/>
        <v>0</v>
      </c>
      <c r="H356" s="69">
        <f t="shared" si="157"/>
        <v>0</v>
      </c>
      <c r="I356" s="69">
        <f t="shared" si="157"/>
        <v>0</v>
      </c>
      <c r="J356" s="69">
        <f t="shared" si="157"/>
        <v>0</v>
      </c>
      <c r="K356" s="69">
        <f>SUM(K357:K360)</f>
        <v>0</v>
      </c>
      <c r="L356" s="69">
        <f t="shared" ref="L356:O356" si="158">SUM(L357:L360)</f>
        <v>808080.8</v>
      </c>
      <c r="M356" s="69">
        <f t="shared" si="158"/>
        <v>1768991.9</v>
      </c>
      <c r="N356" s="69">
        <f t="shared" si="158"/>
        <v>0</v>
      </c>
      <c r="O356" s="69">
        <f t="shared" si="158"/>
        <v>0</v>
      </c>
      <c r="P356" s="75"/>
      <c r="Q356" s="75"/>
      <c r="R356" s="75"/>
      <c r="S356" s="75"/>
      <c r="T356" s="75"/>
      <c r="U356" s="75"/>
      <c r="V356" s="75"/>
      <c r="W356" s="69">
        <f t="shared" ref="W356" si="159">SUM(W357:W360)</f>
        <v>0</v>
      </c>
    </row>
    <row r="357" spans="1:23" s="80" customFormat="1" ht="18.75" customHeight="1" x14ac:dyDescent="0.2">
      <c r="A357" s="184"/>
      <c r="B357" s="135"/>
      <c r="C357" s="94" t="s">
        <v>10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84"/>
      <c r="B358" s="135"/>
      <c r="C358" s="94" t="s">
        <v>11</v>
      </c>
      <c r="D358" s="69">
        <f t="shared" si="123"/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  <c r="W358" s="69">
        <v>0</v>
      </c>
    </row>
    <row r="359" spans="1:23" s="80" customFormat="1" ht="18.75" customHeight="1" x14ac:dyDescent="0.2">
      <c r="A359" s="184"/>
      <c r="B359" s="135"/>
      <c r="C359" s="94" t="s">
        <v>12</v>
      </c>
      <c r="D359" s="69">
        <f t="shared" si="123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33.75" customHeight="1" x14ac:dyDescent="0.2">
      <c r="A360" s="185"/>
      <c r="B360" s="136"/>
      <c r="C360" s="94" t="s">
        <v>13</v>
      </c>
      <c r="D360" s="69">
        <f t="shared" si="123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34" t="s">
        <v>410</v>
      </c>
      <c r="B361" s="134" t="s">
        <v>422</v>
      </c>
      <c r="C361" s="99" t="s">
        <v>7</v>
      </c>
      <c r="D361" s="69">
        <f t="shared" si="123"/>
        <v>360.29999999999995</v>
      </c>
      <c r="E361" s="69">
        <f t="shared" ref="E361:J361" si="160">SUM(E362:E365)</f>
        <v>0</v>
      </c>
      <c r="F361" s="69">
        <f t="shared" si="160"/>
        <v>0</v>
      </c>
      <c r="G361" s="69">
        <f t="shared" si="160"/>
        <v>0</v>
      </c>
      <c r="H361" s="69">
        <f t="shared" si="160"/>
        <v>0</v>
      </c>
      <c r="I361" s="69">
        <f t="shared" si="160"/>
        <v>0</v>
      </c>
      <c r="J361" s="69">
        <f t="shared" si="160"/>
        <v>0</v>
      </c>
      <c r="K361" s="69">
        <f>SUM(K362:K365)</f>
        <v>0</v>
      </c>
      <c r="L361" s="69">
        <f t="shared" ref="L361:O361" si="161">SUM(L362:L365)</f>
        <v>258.29999999999995</v>
      </c>
      <c r="M361" s="69">
        <f t="shared" si="161"/>
        <v>102</v>
      </c>
      <c r="N361" s="69">
        <f t="shared" si="161"/>
        <v>0</v>
      </c>
      <c r="O361" s="69">
        <f t="shared" si="161"/>
        <v>0</v>
      </c>
      <c r="P361" s="75"/>
      <c r="Q361" s="75"/>
      <c r="R361" s="75"/>
      <c r="S361" s="75"/>
      <c r="T361" s="75"/>
      <c r="U361" s="75"/>
      <c r="V361" s="75"/>
      <c r="W361" s="69">
        <f t="shared" ref="W361" si="162">SUM(W362:W365)</f>
        <v>0</v>
      </c>
    </row>
    <row r="362" spans="1:23" s="80" customFormat="1" ht="18.75" customHeight="1" x14ac:dyDescent="0.2">
      <c r="A362" s="135"/>
      <c r="B362" s="135"/>
      <c r="C362" s="94" t="s">
        <v>10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35"/>
      <c r="B363" s="135"/>
      <c r="C363" s="94" t="s">
        <v>11</v>
      </c>
      <c r="D363" s="69">
        <f t="shared" si="123"/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  <c r="W363" s="69">
        <v>0</v>
      </c>
    </row>
    <row r="364" spans="1:23" s="80" customFormat="1" ht="18.75" customHeight="1" x14ac:dyDescent="0.2">
      <c r="A364" s="135"/>
      <c r="B364" s="135"/>
      <c r="C364" s="94" t="s">
        <v>12</v>
      </c>
      <c r="D364" s="69">
        <f t="shared" ref="D364:D427" si="163">E364+F364+G364+H364+I364+J364+K364+L364+M364+N364+O364+W364</f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57">
        <f>52+50-40.3+40.3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39" customHeight="1" x14ac:dyDescent="0.2">
      <c r="A365" s="136"/>
      <c r="B365" s="136"/>
      <c r="C365" s="94" t="s">
        <v>13</v>
      </c>
      <c r="D365" s="69">
        <f t="shared" si="16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34" t="s">
        <v>427</v>
      </c>
      <c r="B366" s="134" t="s">
        <v>430</v>
      </c>
      <c r="C366" s="99" t="s">
        <v>7</v>
      </c>
      <c r="D366" s="69">
        <f t="shared" si="163"/>
        <v>4394382.7</v>
      </c>
      <c r="E366" s="69">
        <f t="shared" ref="E366:J366" si="164">SUM(E367:E370)</f>
        <v>0</v>
      </c>
      <c r="F366" s="69">
        <f t="shared" si="164"/>
        <v>0</v>
      </c>
      <c r="G366" s="69">
        <f t="shared" si="164"/>
        <v>0</v>
      </c>
      <c r="H366" s="69">
        <f t="shared" si="164"/>
        <v>0</v>
      </c>
      <c r="I366" s="69">
        <f t="shared" si="164"/>
        <v>0</v>
      </c>
      <c r="J366" s="69">
        <f t="shared" si="164"/>
        <v>0</v>
      </c>
      <c r="K366" s="69">
        <f>SUM(K367:K370)</f>
        <v>0</v>
      </c>
      <c r="L366" s="69">
        <f t="shared" ref="L366:O366" si="165">SUM(L367:L370)</f>
        <v>1044585.9</v>
      </c>
      <c r="M366" s="69">
        <f t="shared" si="165"/>
        <v>804898.4</v>
      </c>
      <c r="N366" s="69">
        <f t="shared" si="165"/>
        <v>2544898.4</v>
      </c>
      <c r="O366" s="69">
        <f t="shared" si="165"/>
        <v>0</v>
      </c>
      <c r="P366" s="75"/>
      <c r="Q366" s="75"/>
      <c r="R366" s="75"/>
      <c r="S366" s="75"/>
      <c r="T366" s="75"/>
      <c r="U366" s="75"/>
      <c r="V366" s="75"/>
      <c r="W366" s="69">
        <f t="shared" ref="W366" si="166">SUM(W367:W370)</f>
        <v>0</v>
      </c>
    </row>
    <row r="367" spans="1:23" s="80" customFormat="1" ht="18.75" customHeight="1" x14ac:dyDescent="0.2">
      <c r="A367" s="135"/>
      <c r="B367" s="135"/>
      <c r="C367" s="94" t="s">
        <v>10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67">M372+M377</f>
        <v>0</v>
      </c>
      <c r="N367" s="69">
        <f t="shared" si="167"/>
        <v>0</v>
      </c>
      <c r="O367" s="69">
        <f t="shared" si="167"/>
        <v>0</v>
      </c>
      <c r="P367" s="75"/>
      <c r="Q367" s="75"/>
      <c r="R367" s="75"/>
      <c r="S367" s="75"/>
      <c r="T367" s="75"/>
      <c r="U367" s="75"/>
      <c r="V367" s="75"/>
      <c r="W367" s="69">
        <f t="shared" ref="W367" si="168">W372+W377</f>
        <v>0</v>
      </c>
    </row>
    <row r="368" spans="1:23" s="80" customFormat="1" ht="18.75" customHeight="1" x14ac:dyDescent="0.2">
      <c r="A368" s="135"/>
      <c r="B368" s="135"/>
      <c r="C368" s="94" t="s">
        <v>11</v>
      </c>
      <c r="D368" s="69">
        <f t="shared" si="163"/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69">M373+M378</f>
        <v>796849.4</v>
      </c>
      <c r="N368" s="69">
        <f t="shared" si="169"/>
        <v>2519449.4</v>
      </c>
      <c r="O368" s="69">
        <f t="shared" si="169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70">W373+W378</f>
        <v>0</v>
      </c>
    </row>
    <row r="369" spans="1:23" s="80" customFormat="1" ht="18.75" customHeight="1" x14ac:dyDescent="0.2">
      <c r="A369" s="135"/>
      <c r="B369" s="135"/>
      <c r="C369" s="94" t="s">
        <v>12</v>
      </c>
      <c r="D369" s="69">
        <f t="shared" si="163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71">M379+M374</f>
        <v>8049</v>
      </c>
      <c r="N369" s="69">
        <f t="shared" si="171"/>
        <v>25449</v>
      </c>
      <c r="O369" s="69">
        <f t="shared" si="171"/>
        <v>0</v>
      </c>
      <c r="P369" s="69">
        <f t="shared" si="171"/>
        <v>0</v>
      </c>
      <c r="Q369" s="69">
        <f t="shared" si="171"/>
        <v>0</v>
      </c>
      <c r="R369" s="69">
        <f t="shared" si="171"/>
        <v>0</v>
      </c>
      <c r="S369" s="69">
        <f t="shared" si="171"/>
        <v>0</v>
      </c>
      <c r="T369" s="69">
        <f t="shared" si="171"/>
        <v>0</v>
      </c>
      <c r="U369" s="69">
        <f t="shared" si="171"/>
        <v>0</v>
      </c>
      <c r="V369" s="69">
        <f t="shared" si="171"/>
        <v>0</v>
      </c>
      <c r="W369" s="69">
        <f t="shared" ref="W369" si="172">W379+W374</f>
        <v>0</v>
      </c>
    </row>
    <row r="370" spans="1:23" s="80" customFormat="1" ht="38.25" customHeight="1" x14ac:dyDescent="0.2">
      <c r="A370" s="136"/>
      <c r="B370" s="136"/>
      <c r="C370" s="94" t="s">
        <v>13</v>
      </c>
      <c r="D370" s="69">
        <f t="shared" si="163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73">M375+M380</f>
        <v>0</v>
      </c>
      <c r="N370" s="69">
        <f t="shared" si="173"/>
        <v>0</v>
      </c>
      <c r="O370" s="69">
        <f t="shared" si="173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4">W375+W380</f>
        <v>0</v>
      </c>
    </row>
    <row r="371" spans="1:23" s="80" customFormat="1" ht="18.75" customHeight="1" x14ac:dyDescent="0.2">
      <c r="A371" s="134" t="s">
        <v>428</v>
      </c>
      <c r="B371" s="134" t="s">
        <v>413</v>
      </c>
      <c r="C371" s="99" t="s">
        <v>7</v>
      </c>
      <c r="D371" s="69">
        <f t="shared" si="163"/>
        <v>3140000</v>
      </c>
      <c r="E371" s="69">
        <f t="shared" ref="E371:J371" si="175">SUM(E372:E375)</f>
        <v>0</v>
      </c>
      <c r="F371" s="69">
        <f t="shared" si="175"/>
        <v>0</v>
      </c>
      <c r="G371" s="69">
        <f t="shared" si="175"/>
        <v>0</v>
      </c>
      <c r="H371" s="69">
        <f t="shared" si="175"/>
        <v>0</v>
      </c>
      <c r="I371" s="69">
        <f t="shared" si="175"/>
        <v>0</v>
      </c>
      <c r="J371" s="69">
        <f t="shared" si="175"/>
        <v>0</v>
      </c>
      <c r="K371" s="69">
        <f>SUM(K372:K375)</f>
        <v>0</v>
      </c>
      <c r="L371" s="69">
        <f t="shared" ref="L371:O371" si="176">SUM(L372:L375)</f>
        <v>1000000</v>
      </c>
      <c r="M371" s="69">
        <f t="shared" si="176"/>
        <v>200000</v>
      </c>
      <c r="N371" s="69">
        <f t="shared" si="176"/>
        <v>1940000</v>
      </c>
      <c r="O371" s="69">
        <f t="shared" si="176"/>
        <v>0</v>
      </c>
      <c r="P371" s="75"/>
      <c r="Q371" s="75"/>
      <c r="R371" s="75"/>
      <c r="S371" s="75"/>
      <c r="T371" s="75"/>
      <c r="U371" s="75"/>
      <c r="V371" s="75"/>
      <c r="W371" s="69">
        <f t="shared" ref="W371" si="177">SUM(W372:W375)</f>
        <v>0</v>
      </c>
    </row>
    <row r="372" spans="1:23" s="80" customFormat="1" ht="18.75" customHeight="1" x14ac:dyDescent="0.2">
      <c r="A372" s="135"/>
      <c r="B372" s="135"/>
      <c r="C372" s="94" t="s">
        <v>10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  <c r="W372" s="69">
        <v>0</v>
      </c>
    </row>
    <row r="373" spans="1:23" s="80" customFormat="1" ht="18.75" customHeight="1" x14ac:dyDescent="0.2">
      <c r="A373" s="135"/>
      <c r="B373" s="135"/>
      <c r="C373" s="94" t="s">
        <v>11</v>
      </c>
      <c r="D373" s="69">
        <f t="shared" si="163"/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  <c r="W373" s="69">
        <v>0</v>
      </c>
    </row>
    <row r="374" spans="1:23" s="80" customFormat="1" ht="18.75" customHeight="1" x14ac:dyDescent="0.2">
      <c r="A374" s="135"/>
      <c r="B374" s="135"/>
      <c r="C374" s="94" t="s">
        <v>12</v>
      </c>
      <c r="D374" s="69">
        <f t="shared" si="163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35.25" customHeight="1" x14ac:dyDescent="0.2">
      <c r="A375" s="136"/>
      <c r="B375" s="136"/>
      <c r="C375" s="94" t="s">
        <v>13</v>
      </c>
      <c r="D375" s="69">
        <f t="shared" si="163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34" t="s">
        <v>429</v>
      </c>
      <c r="B376" s="134" t="s">
        <v>419</v>
      </c>
      <c r="C376" s="99" t="s">
        <v>7</v>
      </c>
      <c r="D376" s="69">
        <f t="shared" si="163"/>
        <v>1254382.7000000002</v>
      </c>
      <c r="E376" s="69">
        <f t="shared" ref="E376:J376" si="178">SUM(E377:E380)</f>
        <v>0</v>
      </c>
      <c r="F376" s="69">
        <f t="shared" si="178"/>
        <v>0</v>
      </c>
      <c r="G376" s="69">
        <f t="shared" si="178"/>
        <v>0</v>
      </c>
      <c r="H376" s="69">
        <f t="shared" si="178"/>
        <v>0</v>
      </c>
      <c r="I376" s="69">
        <f t="shared" si="178"/>
        <v>0</v>
      </c>
      <c r="J376" s="69">
        <f t="shared" si="178"/>
        <v>0</v>
      </c>
      <c r="K376" s="69">
        <f>SUM(K377:K380)</f>
        <v>0</v>
      </c>
      <c r="L376" s="69">
        <f t="shared" ref="L376:O376" si="179">SUM(L377:L380)</f>
        <v>44585.9</v>
      </c>
      <c r="M376" s="69">
        <f t="shared" si="179"/>
        <v>604898.4</v>
      </c>
      <c r="N376" s="69">
        <f t="shared" si="179"/>
        <v>604898.4</v>
      </c>
      <c r="O376" s="69">
        <f t="shared" si="179"/>
        <v>0</v>
      </c>
      <c r="P376" s="75"/>
      <c r="Q376" s="75"/>
      <c r="R376" s="75"/>
      <c r="S376" s="75"/>
      <c r="T376" s="75"/>
      <c r="U376" s="75"/>
      <c r="V376" s="75"/>
      <c r="W376" s="69">
        <f t="shared" ref="W376" si="180">SUM(W377:W380)</f>
        <v>0</v>
      </c>
    </row>
    <row r="377" spans="1:23" s="80" customFormat="1" ht="18.75" customHeight="1" x14ac:dyDescent="0.2">
      <c r="A377" s="135"/>
      <c r="B377" s="135"/>
      <c r="C377" s="94" t="s">
        <v>10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35"/>
      <c r="B378" s="135"/>
      <c r="C378" s="94" t="s">
        <v>11</v>
      </c>
      <c r="D378" s="69">
        <f t="shared" si="163"/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  <c r="W378" s="69">
        <v>0</v>
      </c>
    </row>
    <row r="379" spans="1:23" s="80" customFormat="1" ht="18.75" customHeight="1" x14ac:dyDescent="0.2">
      <c r="A379" s="135"/>
      <c r="B379" s="135"/>
      <c r="C379" s="94" t="s">
        <v>12</v>
      </c>
      <c r="D379" s="69">
        <f t="shared" si="163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36.75" customHeight="1" x14ac:dyDescent="0.2">
      <c r="A380" s="136"/>
      <c r="B380" s="136"/>
      <c r="C380" s="94" t="s">
        <v>13</v>
      </c>
      <c r="D380" s="69">
        <f t="shared" si="163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34" t="s">
        <v>435</v>
      </c>
      <c r="B381" s="134" t="s">
        <v>436</v>
      </c>
      <c r="C381" s="99" t="s">
        <v>7</v>
      </c>
      <c r="D381" s="69">
        <f t="shared" si="163"/>
        <v>8471.1</v>
      </c>
      <c r="E381" s="69">
        <f t="shared" ref="E381:J381" si="181">SUM(E382:E385)</f>
        <v>0</v>
      </c>
      <c r="F381" s="69">
        <f t="shared" si="181"/>
        <v>0</v>
      </c>
      <c r="G381" s="69">
        <f t="shared" si="181"/>
        <v>0</v>
      </c>
      <c r="H381" s="69">
        <f t="shared" si="181"/>
        <v>0</v>
      </c>
      <c r="I381" s="69">
        <f t="shared" si="181"/>
        <v>0</v>
      </c>
      <c r="J381" s="69">
        <f t="shared" si="181"/>
        <v>0</v>
      </c>
      <c r="K381" s="69">
        <f>SUM(K382:K385)</f>
        <v>0</v>
      </c>
      <c r="L381" s="69">
        <f t="shared" ref="L381" si="182">SUM(L382:L385)</f>
        <v>4347.8</v>
      </c>
      <c r="M381" s="69">
        <f>SUM(M382:M385)</f>
        <v>4123.3</v>
      </c>
      <c r="N381" s="69">
        <f t="shared" ref="N381" si="183">SUM(N382:N385)</f>
        <v>0</v>
      </c>
      <c r="O381" s="69">
        <f t="shared" ref="O381" si="184">SUM(O382:O385)</f>
        <v>0</v>
      </c>
      <c r="P381" s="75"/>
      <c r="Q381" s="75"/>
      <c r="R381" s="75"/>
      <c r="S381" s="75"/>
      <c r="T381" s="75"/>
      <c r="U381" s="75"/>
      <c r="V381" s="75"/>
      <c r="W381" s="69">
        <f t="shared" ref="W381" si="185">SUM(W382:W385)</f>
        <v>0</v>
      </c>
    </row>
    <row r="382" spans="1:23" s="80" customFormat="1" ht="18.75" customHeight="1" x14ac:dyDescent="0.2">
      <c r="A382" s="135"/>
      <c r="B382" s="135"/>
      <c r="C382" s="94" t="s">
        <v>10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35"/>
      <c r="B383" s="135"/>
      <c r="C383" s="94" t="s">
        <v>11</v>
      </c>
      <c r="D383" s="69">
        <f t="shared" si="163"/>
        <v>7936.6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69">
        <f>4287.7-438</f>
        <v>3849.7</v>
      </c>
      <c r="N383" s="69">
        <f>4523.5-4523.5</f>
        <v>0</v>
      </c>
      <c r="O383" s="69">
        <f>4704.4-4704.4</f>
        <v>0</v>
      </c>
      <c r="P383" s="75"/>
      <c r="Q383" s="75"/>
      <c r="R383" s="75"/>
      <c r="S383" s="75"/>
      <c r="T383" s="75"/>
      <c r="U383" s="75"/>
      <c r="V383" s="75"/>
      <c r="W383" s="69">
        <v>0</v>
      </c>
    </row>
    <row r="384" spans="1:23" s="80" customFormat="1" ht="18.75" customHeight="1" x14ac:dyDescent="0.2">
      <c r="A384" s="135"/>
      <c r="B384" s="135"/>
      <c r="C384" s="94" t="s">
        <v>12</v>
      </c>
      <c r="D384" s="69">
        <f t="shared" si="163"/>
        <v>534.5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57">
        <f>273.7-0.1</f>
        <v>273.59999999999997</v>
      </c>
      <c r="N384" s="69">
        <f>288.7-288.7</f>
        <v>0</v>
      </c>
      <c r="O384" s="69">
        <f>300.3-300.3</f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39" customHeight="1" x14ac:dyDescent="0.2">
      <c r="A385" s="136"/>
      <c r="B385" s="136"/>
      <c r="C385" s="94" t="s">
        <v>13</v>
      </c>
      <c r="D385" s="69">
        <f t="shared" si="163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  <c r="W385" s="69">
        <v>0</v>
      </c>
    </row>
    <row r="386" spans="1:23" s="80" customFormat="1" ht="18.75" customHeight="1" x14ac:dyDescent="0.2">
      <c r="A386" s="134" t="s">
        <v>439</v>
      </c>
      <c r="B386" s="134" t="s">
        <v>440</v>
      </c>
      <c r="C386" s="99" t="s">
        <v>7</v>
      </c>
      <c r="D386" s="69">
        <f t="shared" si="163"/>
        <v>250183.2</v>
      </c>
      <c r="E386" s="69">
        <f t="shared" ref="E386:J386" si="186">SUM(E387:E390)</f>
        <v>0</v>
      </c>
      <c r="F386" s="69">
        <f t="shared" si="186"/>
        <v>0</v>
      </c>
      <c r="G386" s="69">
        <f t="shared" si="186"/>
        <v>0</v>
      </c>
      <c r="H386" s="69">
        <f t="shared" si="186"/>
        <v>0</v>
      </c>
      <c r="I386" s="69">
        <f t="shared" si="186"/>
        <v>0</v>
      </c>
      <c r="J386" s="69">
        <f t="shared" si="186"/>
        <v>0</v>
      </c>
      <c r="K386" s="69">
        <f>SUM(K387:K390)</f>
        <v>0</v>
      </c>
      <c r="L386" s="69">
        <f t="shared" ref="L386" si="187">SUM(L387:L390)</f>
        <v>3885.8</v>
      </c>
      <c r="M386" s="69">
        <f>SUM(M387:M390)</f>
        <v>50927</v>
      </c>
      <c r="N386" s="69">
        <f t="shared" ref="N386:O386" si="188">SUM(N387:N390)</f>
        <v>62409.3</v>
      </c>
      <c r="O386" s="69">
        <f t="shared" si="188"/>
        <v>65177.900000000009</v>
      </c>
      <c r="P386" s="75"/>
      <c r="Q386" s="75"/>
      <c r="R386" s="75"/>
      <c r="S386" s="75"/>
      <c r="T386" s="75"/>
      <c r="U386" s="75"/>
      <c r="V386" s="75"/>
      <c r="W386" s="69">
        <f t="shared" ref="W386" si="189">SUM(W387:W390)</f>
        <v>67783.199999999997</v>
      </c>
    </row>
    <row r="387" spans="1:23" s="80" customFormat="1" ht="18.75" customHeight="1" x14ac:dyDescent="0.2">
      <c r="A387" s="135"/>
      <c r="B387" s="135"/>
      <c r="C387" s="94" t="s">
        <v>10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35"/>
      <c r="B388" s="135"/>
      <c r="C388" s="94" t="s">
        <v>11</v>
      </c>
      <c r="D388" s="69">
        <f t="shared" si="163"/>
        <v>250183.2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23833.1-630.7+5070+22654.6</f>
        <v>50927</v>
      </c>
      <c r="N388" s="69">
        <f>48714.9-1296.5+14990.9</f>
        <v>62409.3</v>
      </c>
      <c r="O388" s="69">
        <f>44585.8-1185.6+21777.7</f>
        <v>65177.900000000009</v>
      </c>
      <c r="P388" s="75"/>
      <c r="Q388" s="75"/>
      <c r="R388" s="75"/>
      <c r="S388" s="75"/>
      <c r="T388" s="75"/>
      <c r="U388" s="75"/>
      <c r="V388" s="75"/>
      <c r="W388" s="69">
        <v>67783.199999999997</v>
      </c>
    </row>
    <row r="389" spans="1:23" s="80" customFormat="1" ht="18.75" customHeight="1" x14ac:dyDescent="0.2">
      <c r="A389" s="135"/>
      <c r="B389" s="135"/>
      <c r="C389" s="94" t="s">
        <v>12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30" customHeight="1" x14ac:dyDescent="0.2">
      <c r="A390" s="136"/>
      <c r="B390" s="136"/>
      <c r="C390" s="94" t="s">
        <v>13</v>
      </c>
      <c r="D390" s="69">
        <f t="shared" si="163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  <c r="W390" s="69">
        <v>0</v>
      </c>
    </row>
    <row r="391" spans="1:23" s="80" customFormat="1" ht="18.75" customHeight="1" x14ac:dyDescent="0.2">
      <c r="A391" s="134" t="s">
        <v>446</v>
      </c>
      <c r="B391" s="134" t="s">
        <v>447</v>
      </c>
      <c r="C391" s="99" t="s">
        <v>7</v>
      </c>
      <c r="D391" s="69">
        <f t="shared" si="163"/>
        <v>2599.5</v>
      </c>
      <c r="E391" s="69">
        <f t="shared" ref="E391:J391" si="190">SUM(E392:E395)</f>
        <v>0</v>
      </c>
      <c r="F391" s="69">
        <f t="shared" si="190"/>
        <v>0</v>
      </c>
      <c r="G391" s="69">
        <f t="shared" si="190"/>
        <v>0</v>
      </c>
      <c r="H391" s="69">
        <f t="shared" si="190"/>
        <v>0</v>
      </c>
      <c r="I391" s="69">
        <f t="shared" si="190"/>
        <v>0</v>
      </c>
      <c r="J391" s="69">
        <f t="shared" si="190"/>
        <v>0</v>
      </c>
      <c r="K391" s="69">
        <f>SUM(K392:K395)</f>
        <v>0</v>
      </c>
      <c r="L391" s="69">
        <f t="shared" ref="L391" si="191">SUM(L392:L395)</f>
        <v>0</v>
      </c>
      <c r="M391" s="69">
        <f>SUM(M392:M395)</f>
        <v>2599.5</v>
      </c>
      <c r="N391" s="69">
        <f t="shared" ref="N391:O391" si="192">SUM(N392:N395)</f>
        <v>0</v>
      </c>
      <c r="O391" s="69">
        <f t="shared" si="192"/>
        <v>0</v>
      </c>
      <c r="P391" s="75"/>
      <c r="Q391" s="75"/>
      <c r="R391" s="75"/>
      <c r="S391" s="75"/>
      <c r="T391" s="75"/>
      <c r="U391" s="75"/>
      <c r="V391" s="75"/>
      <c r="W391" s="69">
        <f t="shared" ref="W391" si="193">SUM(W392:W395)</f>
        <v>0</v>
      </c>
    </row>
    <row r="392" spans="1:23" s="80" customFormat="1" ht="18.75" customHeight="1" x14ac:dyDescent="0.2">
      <c r="A392" s="135"/>
      <c r="B392" s="135"/>
      <c r="C392" s="94" t="s">
        <v>10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35"/>
      <c r="B393" s="135"/>
      <c r="C393" s="94" t="s">
        <v>11</v>
      </c>
      <c r="D393" s="69">
        <f t="shared" si="163"/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  <c r="W393" s="69">
        <v>0</v>
      </c>
    </row>
    <row r="394" spans="1:23" s="80" customFormat="1" ht="18.75" customHeight="1" x14ac:dyDescent="0.2">
      <c r="A394" s="135"/>
      <c r="B394" s="135"/>
      <c r="C394" s="94" t="s">
        <v>12</v>
      </c>
      <c r="D394" s="69">
        <f t="shared" si="163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33.75" customHeight="1" x14ac:dyDescent="0.2">
      <c r="A395" s="136"/>
      <c r="B395" s="136"/>
      <c r="C395" s="94" t="s">
        <v>13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hidden="1" customHeight="1" x14ac:dyDescent="0.2">
      <c r="A396" s="134"/>
      <c r="B396" s="134" t="s">
        <v>452</v>
      </c>
      <c r="C396" s="99" t="s">
        <v>7</v>
      </c>
      <c r="D396" s="69">
        <f t="shared" si="163"/>
        <v>0</v>
      </c>
      <c r="E396" s="69">
        <f t="shared" ref="E396:J396" si="194">SUM(E397:E400)</f>
        <v>0</v>
      </c>
      <c r="F396" s="69">
        <f t="shared" si="194"/>
        <v>0</v>
      </c>
      <c r="G396" s="69">
        <f t="shared" si="194"/>
        <v>0</v>
      </c>
      <c r="H396" s="69">
        <f t="shared" si="194"/>
        <v>0</v>
      </c>
      <c r="I396" s="69">
        <f t="shared" si="194"/>
        <v>0</v>
      </c>
      <c r="J396" s="69">
        <f t="shared" si="194"/>
        <v>0</v>
      </c>
      <c r="K396" s="69">
        <f>SUM(K397:K400)</f>
        <v>0</v>
      </c>
      <c r="L396" s="69">
        <f t="shared" ref="L396" si="195">SUM(L397:L400)</f>
        <v>0</v>
      </c>
      <c r="M396" s="69">
        <f>SUM(M397:M400)</f>
        <v>0</v>
      </c>
      <c r="N396" s="69">
        <f t="shared" ref="N396:O396" si="196">SUM(N397:N400)</f>
        <v>0</v>
      </c>
      <c r="O396" s="69">
        <f t="shared" si="196"/>
        <v>0</v>
      </c>
      <c r="P396" s="75"/>
      <c r="Q396" s="75"/>
      <c r="R396" s="75"/>
      <c r="S396" s="75"/>
      <c r="T396" s="75"/>
      <c r="U396" s="75"/>
      <c r="V396" s="75"/>
      <c r="W396" s="69">
        <f t="shared" ref="W396" si="197">SUM(W397:W400)</f>
        <v>0</v>
      </c>
    </row>
    <row r="397" spans="1:23" s="80" customFormat="1" ht="18.75" hidden="1" customHeight="1" x14ac:dyDescent="0.2">
      <c r="A397" s="135"/>
      <c r="B397" s="135"/>
      <c r="C397" s="94" t="s">
        <v>10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35"/>
      <c r="B398" s="135"/>
      <c r="C398" s="94" t="s">
        <v>11</v>
      </c>
      <c r="D398" s="69">
        <f t="shared" si="163"/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  <c r="W398" s="69">
        <v>0</v>
      </c>
    </row>
    <row r="399" spans="1:23" s="80" customFormat="1" ht="18.75" hidden="1" customHeight="1" x14ac:dyDescent="0.2">
      <c r="A399" s="135"/>
      <c r="B399" s="135"/>
      <c r="C399" s="94" t="s">
        <v>12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36"/>
      <c r="B400" s="136"/>
      <c r="C400" s="94" t="s">
        <v>13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customHeight="1" x14ac:dyDescent="0.2">
      <c r="A401" s="140" t="s">
        <v>451</v>
      </c>
      <c r="B401" s="140" t="s">
        <v>453</v>
      </c>
      <c r="C401" s="99" t="s">
        <v>7</v>
      </c>
      <c r="D401" s="69">
        <f t="shared" si="163"/>
        <v>599</v>
      </c>
      <c r="E401" s="69">
        <f>E402+E403+E404+E405</f>
        <v>0</v>
      </c>
      <c r="F401" s="69">
        <f t="shared" ref="F401:O401" si="198">F402+F403+F404+F405</f>
        <v>0</v>
      </c>
      <c r="G401" s="69">
        <f t="shared" si="198"/>
        <v>0</v>
      </c>
      <c r="H401" s="69">
        <f t="shared" si="198"/>
        <v>0</v>
      </c>
      <c r="I401" s="69">
        <f t="shared" si="198"/>
        <v>0</v>
      </c>
      <c r="J401" s="69">
        <f t="shared" si="198"/>
        <v>0</v>
      </c>
      <c r="K401" s="69">
        <f t="shared" si="198"/>
        <v>0</v>
      </c>
      <c r="L401" s="69">
        <f t="shared" si="198"/>
        <v>0</v>
      </c>
      <c r="M401" s="69">
        <f t="shared" si="198"/>
        <v>599</v>
      </c>
      <c r="N401" s="69">
        <f t="shared" si="198"/>
        <v>0</v>
      </c>
      <c r="O401" s="69">
        <f t="shared" si="198"/>
        <v>0</v>
      </c>
      <c r="P401" s="75"/>
      <c r="Q401" s="75"/>
      <c r="R401" s="75"/>
      <c r="S401" s="75"/>
      <c r="T401" s="75"/>
      <c r="U401" s="75"/>
      <c r="V401" s="75"/>
      <c r="W401" s="69">
        <f t="shared" ref="W401" si="199">W402+W403+W404+W405</f>
        <v>0</v>
      </c>
    </row>
    <row r="402" spans="1:24" s="80" customFormat="1" ht="18.75" customHeight="1" x14ac:dyDescent="0.2">
      <c r="A402" s="141"/>
      <c r="B402" s="140"/>
      <c r="C402" s="94" t="s">
        <v>10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41"/>
      <c r="B403" s="140"/>
      <c r="C403" s="94" t="s">
        <v>11</v>
      </c>
      <c r="D403" s="69">
        <f t="shared" si="163"/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  <c r="W403" s="69">
        <v>0</v>
      </c>
    </row>
    <row r="404" spans="1:24" s="80" customFormat="1" ht="18.75" customHeight="1" x14ac:dyDescent="0.2">
      <c r="A404" s="141"/>
      <c r="B404" s="140"/>
      <c r="C404" s="94" t="s">
        <v>12</v>
      </c>
      <c r="D404" s="69">
        <f t="shared" si="163"/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37.5" customHeight="1" x14ac:dyDescent="0.2">
      <c r="A405" s="141"/>
      <c r="B405" s="140"/>
      <c r="C405" s="94" t="s">
        <v>13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18.75" customHeight="1" x14ac:dyDescent="0.2">
      <c r="A406" s="140" t="s">
        <v>454</v>
      </c>
      <c r="B406" s="140" t="s">
        <v>455</v>
      </c>
      <c r="C406" s="99" t="s">
        <v>7</v>
      </c>
      <c r="D406" s="69">
        <f t="shared" si="163"/>
        <v>220.19999999999993</v>
      </c>
      <c r="E406" s="69">
        <f>E407+E408+E409+E410</f>
        <v>0</v>
      </c>
      <c r="F406" s="69">
        <f t="shared" ref="F406:O406" si="200">F407+F408+F409+F410</f>
        <v>0</v>
      </c>
      <c r="G406" s="69">
        <f t="shared" si="200"/>
        <v>0</v>
      </c>
      <c r="H406" s="69">
        <f t="shared" si="200"/>
        <v>0</v>
      </c>
      <c r="I406" s="69">
        <f t="shared" si="200"/>
        <v>0</v>
      </c>
      <c r="J406" s="69">
        <f t="shared" si="200"/>
        <v>0</v>
      </c>
      <c r="K406" s="69">
        <f t="shared" si="200"/>
        <v>0</v>
      </c>
      <c r="L406" s="69">
        <f t="shared" si="200"/>
        <v>0</v>
      </c>
      <c r="M406" s="69">
        <f t="shared" si="200"/>
        <v>220.19999999999993</v>
      </c>
      <c r="N406" s="69">
        <f t="shared" si="200"/>
        <v>0</v>
      </c>
      <c r="O406" s="69">
        <f t="shared" si="200"/>
        <v>0</v>
      </c>
      <c r="P406" s="75"/>
      <c r="Q406" s="75"/>
      <c r="R406" s="75"/>
      <c r="S406" s="75"/>
      <c r="T406" s="75"/>
      <c r="U406" s="75"/>
      <c r="V406" s="75"/>
      <c r="W406" s="69">
        <f t="shared" ref="W406" si="201">W407+W408+W409+W410</f>
        <v>0</v>
      </c>
    </row>
    <row r="407" spans="1:24" s="80" customFormat="1" ht="18.75" customHeight="1" x14ac:dyDescent="0.2">
      <c r="A407" s="141"/>
      <c r="B407" s="140"/>
      <c r="C407" s="94" t="s">
        <v>10</v>
      </c>
      <c r="D407" s="69">
        <f t="shared" si="163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  <c r="W407" s="69">
        <v>0</v>
      </c>
    </row>
    <row r="408" spans="1:24" s="80" customFormat="1" ht="18.75" customHeight="1" x14ac:dyDescent="0.2">
      <c r="A408" s="141"/>
      <c r="B408" s="140"/>
      <c r="C408" s="94" t="s">
        <v>11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41"/>
      <c r="B409" s="140"/>
      <c r="C409" s="94" t="s">
        <v>12</v>
      </c>
      <c r="D409" s="69">
        <f t="shared" si="163"/>
        <v>220.19999999999993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f>916.4-59.1-206-431.1</f>
        <v>220.19999999999993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  <c r="W409" s="69">
        <v>0</v>
      </c>
    </row>
    <row r="410" spans="1:24" s="80" customFormat="1" ht="30.75" customHeight="1" x14ac:dyDescent="0.2">
      <c r="A410" s="141"/>
      <c r="B410" s="140"/>
      <c r="C410" s="94" t="s">
        <v>13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5">
      <c r="A411" s="140" t="s">
        <v>457</v>
      </c>
      <c r="B411" s="140" t="s">
        <v>458</v>
      </c>
      <c r="C411" s="99" t="s">
        <v>7</v>
      </c>
      <c r="D411" s="69">
        <f t="shared" si="163"/>
        <v>6000</v>
      </c>
      <c r="E411" s="69">
        <f>E412+E413+E414+E415</f>
        <v>0</v>
      </c>
      <c r="F411" s="69">
        <f t="shared" ref="F411:O411" si="202">F412+F413+F414+F415</f>
        <v>0</v>
      </c>
      <c r="G411" s="69">
        <f t="shared" si="202"/>
        <v>0</v>
      </c>
      <c r="H411" s="69">
        <f t="shared" si="202"/>
        <v>0</v>
      </c>
      <c r="I411" s="69">
        <f t="shared" si="202"/>
        <v>0</v>
      </c>
      <c r="J411" s="69">
        <f t="shared" si="202"/>
        <v>0</v>
      </c>
      <c r="K411" s="69">
        <f t="shared" si="202"/>
        <v>0</v>
      </c>
      <c r="L411" s="69">
        <f t="shared" si="202"/>
        <v>0</v>
      </c>
      <c r="M411" s="69">
        <f t="shared" si="202"/>
        <v>6000</v>
      </c>
      <c r="N411" s="69">
        <f>N418</f>
        <v>0</v>
      </c>
      <c r="O411" s="69">
        <f t="shared" si="202"/>
        <v>0</v>
      </c>
      <c r="P411" s="75"/>
      <c r="Q411" s="75"/>
      <c r="R411" s="75"/>
      <c r="S411" s="75"/>
      <c r="T411" s="75"/>
      <c r="U411" s="75"/>
      <c r="V411" s="75"/>
      <c r="W411" s="69">
        <f t="shared" ref="W411" si="203">W412+W413+W414+W415</f>
        <v>0</v>
      </c>
      <c r="X411" s="82"/>
    </row>
    <row r="412" spans="1:24" s="80" customFormat="1" ht="18.75" customHeight="1" x14ac:dyDescent="0.2">
      <c r="A412" s="141"/>
      <c r="B412" s="140"/>
      <c r="C412" s="94" t="s">
        <v>10</v>
      </c>
      <c r="D412" s="69">
        <f t="shared" si="163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18.75" customHeight="1" x14ac:dyDescent="0.2">
      <c r="A413" s="141"/>
      <c r="B413" s="140"/>
      <c r="C413" s="94" t="s">
        <v>11</v>
      </c>
      <c r="D413" s="69">
        <f t="shared" si="163"/>
        <v>6000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">
      <c r="A414" s="141"/>
      <c r="B414" s="140"/>
      <c r="C414" s="94" t="s">
        <v>12</v>
      </c>
      <c r="D414" s="69">
        <f t="shared" si="163"/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  <c r="W414" s="69">
        <v>0</v>
      </c>
    </row>
    <row r="415" spans="1:24" s="80" customFormat="1" ht="40.5" customHeight="1" x14ac:dyDescent="0.2">
      <c r="A415" s="141"/>
      <c r="B415" s="140"/>
      <c r="C415" s="94" t="s">
        <v>13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40" t="s">
        <v>460</v>
      </c>
      <c r="B416" s="140" t="s">
        <v>459</v>
      </c>
      <c r="C416" s="99" t="s">
        <v>7</v>
      </c>
      <c r="D416" s="69">
        <f t="shared" si="163"/>
        <v>6000</v>
      </c>
      <c r="E416" s="69">
        <f>E417+E418+E419+E420</f>
        <v>0</v>
      </c>
      <c r="F416" s="69">
        <f t="shared" ref="F416:O416" si="204">F417+F418+F419+F420</f>
        <v>0</v>
      </c>
      <c r="G416" s="69">
        <f t="shared" si="204"/>
        <v>0</v>
      </c>
      <c r="H416" s="69">
        <f t="shared" si="204"/>
        <v>0</v>
      </c>
      <c r="I416" s="69">
        <f t="shared" si="204"/>
        <v>0</v>
      </c>
      <c r="J416" s="69">
        <f t="shared" si="204"/>
        <v>0</v>
      </c>
      <c r="K416" s="69">
        <f t="shared" si="204"/>
        <v>0</v>
      </c>
      <c r="L416" s="69">
        <f t="shared" si="204"/>
        <v>0</v>
      </c>
      <c r="M416" s="69">
        <f t="shared" si="204"/>
        <v>6000</v>
      </c>
      <c r="N416" s="69">
        <f t="shared" si="204"/>
        <v>0</v>
      </c>
      <c r="O416" s="69">
        <f t="shared" si="204"/>
        <v>0</v>
      </c>
      <c r="P416" s="75"/>
      <c r="Q416" s="75"/>
      <c r="R416" s="75"/>
      <c r="S416" s="75"/>
      <c r="T416" s="75"/>
      <c r="U416" s="75"/>
      <c r="V416" s="75"/>
      <c r="W416" s="69">
        <f t="shared" ref="W416" si="205">W417+W418+W419+W420</f>
        <v>0</v>
      </c>
    </row>
    <row r="417" spans="1:23" s="80" customFormat="1" ht="18.75" customHeight="1" x14ac:dyDescent="0.2">
      <c r="A417" s="141"/>
      <c r="B417" s="140"/>
      <c r="C417" s="94" t="s">
        <v>10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18.75" customHeight="1" x14ac:dyDescent="0.2">
      <c r="A418" s="141"/>
      <c r="B418" s="140"/>
      <c r="C418" s="94" t="s">
        <v>11</v>
      </c>
      <c r="D418" s="69">
        <f t="shared" si="163"/>
        <v>6000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69">
        <f>14000-14000</f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41"/>
      <c r="B419" s="140"/>
      <c r="C419" s="94" t="s">
        <v>12</v>
      </c>
      <c r="D419" s="69">
        <f t="shared" si="163"/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  <c r="W419" s="69">
        <v>0</v>
      </c>
    </row>
    <row r="420" spans="1:23" s="80" customFormat="1" ht="30.75" customHeight="1" x14ac:dyDescent="0.2">
      <c r="A420" s="141"/>
      <c r="B420" s="140"/>
      <c r="C420" s="94" t="s">
        <v>13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ht="21" customHeight="1" x14ac:dyDescent="0.2">
      <c r="A421" s="140" t="s">
        <v>464</v>
      </c>
      <c r="B421" s="134" t="s">
        <v>465</v>
      </c>
      <c r="C421" s="94" t="s">
        <v>7</v>
      </c>
      <c r="D421" s="69">
        <f t="shared" si="163"/>
        <v>1119224.1000000001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f>M422+M423+M424+M425</f>
        <v>1119224.1000000001</v>
      </c>
      <c r="N421" s="69">
        <v>0</v>
      </c>
      <c r="O421" s="69">
        <v>0</v>
      </c>
      <c r="W421" s="69">
        <v>0</v>
      </c>
    </row>
    <row r="422" spans="1:23" ht="21" customHeight="1" x14ac:dyDescent="0.2">
      <c r="A422" s="141"/>
      <c r="B422" s="135"/>
      <c r="C422" s="94" t="s">
        <v>10</v>
      </c>
      <c r="D422" s="69">
        <f t="shared" si="163"/>
        <v>1108031.8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f>M427+M432</f>
        <v>1108031.8</v>
      </c>
      <c r="N422" s="69">
        <v>0</v>
      </c>
      <c r="O422" s="69">
        <v>0</v>
      </c>
      <c r="W422" s="69">
        <v>0</v>
      </c>
    </row>
    <row r="423" spans="1:23" ht="21" customHeight="1" x14ac:dyDescent="0.2">
      <c r="A423" s="141"/>
      <c r="B423" s="135"/>
      <c r="C423" s="94" t="s">
        <v>11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f>M428+M433</f>
        <v>0</v>
      </c>
      <c r="N423" s="69">
        <v>0</v>
      </c>
      <c r="O423" s="69">
        <v>0</v>
      </c>
      <c r="W423" s="69">
        <v>0</v>
      </c>
    </row>
    <row r="424" spans="1:23" ht="21" customHeight="1" x14ac:dyDescent="0.2">
      <c r="A424" s="141"/>
      <c r="B424" s="135"/>
      <c r="C424" s="94" t="s">
        <v>12</v>
      </c>
      <c r="D424" s="69">
        <f t="shared" si="163"/>
        <v>11192.3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M429+M434</f>
        <v>11192.3</v>
      </c>
      <c r="N424" s="69">
        <v>0</v>
      </c>
      <c r="O424" s="69">
        <v>0</v>
      </c>
      <c r="W424" s="69">
        <v>0</v>
      </c>
    </row>
    <row r="425" spans="1:23" ht="36" customHeight="1" x14ac:dyDescent="0.2">
      <c r="A425" s="141"/>
      <c r="B425" s="136"/>
      <c r="C425" s="94" t="s">
        <v>13</v>
      </c>
      <c r="D425" s="69">
        <f t="shared" si="163"/>
        <v>0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0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40" t="s">
        <v>466</v>
      </c>
      <c r="B426" s="140" t="s">
        <v>467</v>
      </c>
      <c r="C426" s="94" t="s">
        <v>7</v>
      </c>
      <c r="D426" s="69">
        <f t="shared" si="163"/>
        <v>99224.1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M427+M428+M429+M430</f>
        <v>99224.1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1"/>
      <c r="B427" s="140"/>
      <c r="C427" s="94" t="s">
        <v>10</v>
      </c>
      <c r="D427" s="69">
        <f t="shared" si="163"/>
        <v>98231.8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98231.8</v>
      </c>
      <c r="N427" s="69">
        <v>0</v>
      </c>
      <c r="O427" s="69">
        <v>0</v>
      </c>
      <c r="W427" s="69">
        <v>0</v>
      </c>
    </row>
    <row r="428" spans="1:23" ht="21" customHeight="1" x14ac:dyDescent="0.2">
      <c r="A428" s="141"/>
      <c r="B428" s="140"/>
      <c r="C428" s="94" t="s">
        <v>11</v>
      </c>
      <c r="D428" s="69">
        <f t="shared" ref="D428:D435" si="206">E428+F428+G428+H428+I428+J428+K428+L428+M428+N428+O428+W428</f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41"/>
      <c r="B429" s="140"/>
      <c r="C429" s="94" t="s">
        <v>12</v>
      </c>
      <c r="D429" s="69">
        <f t="shared" si="206"/>
        <v>992.3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f>992.3</f>
        <v>992.3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1"/>
      <c r="B430" s="140"/>
      <c r="C430" s="94" t="s">
        <v>13</v>
      </c>
      <c r="D430" s="69">
        <f t="shared" si="206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40" t="s">
        <v>468</v>
      </c>
      <c r="B431" s="140" t="s">
        <v>469</v>
      </c>
      <c r="C431" s="94" t="s">
        <v>7</v>
      </c>
      <c r="D431" s="69">
        <f t="shared" si="206"/>
        <v>1020000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f>M432+M433+M434+M435</f>
        <v>1020000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1"/>
      <c r="B432" s="140"/>
      <c r="C432" s="94" t="s">
        <v>10</v>
      </c>
      <c r="D432" s="69">
        <f t="shared" si="206"/>
        <v>1009800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1009800</v>
      </c>
      <c r="N432" s="69">
        <v>0</v>
      </c>
      <c r="O432" s="69">
        <v>0</v>
      </c>
      <c r="W432" s="69">
        <v>0</v>
      </c>
    </row>
    <row r="433" spans="1:25" ht="21" customHeight="1" x14ac:dyDescent="0.2">
      <c r="A433" s="141"/>
      <c r="B433" s="140"/>
      <c r="C433" s="94" t="s">
        <v>11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5" ht="21" customHeight="1" x14ac:dyDescent="0.2">
      <c r="A434" s="141"/>
      <c r="B434" s="140"/>
      <c r="C434" s="94" t="s">
        <v>12</v>
      </c>
      <c r="D434" s="69">
        <f t="shared" si="206"/>
        <v>10200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10200</v>
      </c>
      <c r="N434" s="69">
        <v>0</v>
      </c>
      <c r="O434" s="69">
        <v>0</v>
      </c>
      <c r="W434" s="69">
        <v>0</v>
      </c>
    </row>
    <row r="435" spans="1:25" ht="26.25" customHeight="1" x14ac:dyDescent="0.2">
      <c r="A435" s="141"/>
      <c r="B435" s="140"/>
      <c r="C435" s="94" t="s">
        <v>13</v>
      </c>
      <c r="D435" s="69">
        <f t="shared" si="206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  <c r="W435" s="69">
        <v>0</v>
      </c>
    </row>
    <row r="436" spans="1:25" ht="15.75" x14ac:dyDescent="0.2">
      <c r="A436" s="140" t="s">
        <v>145</v>
      </c>
      <c r="B436" s="143" t="s">
        <v>445</v>
      </c>
      <c r="C436" s="99" t="s">
        <v>7</v>
      </c>
      <c r="D436" s="69">
        <f>D437+D438+D439+D440</f>
        <v>253028.90000000002</v>
      </c>
      <c r="E436" s="69">
        <f>E437+E438+E439+E440</f>
        <v>24704.6</v>
      </c>
      <c r="F436" s="69">
        <f t="shared" ref="F436:O436" si="207">F437+F438+F439+F440</f>
        <v>23418.400000000001</v>
      </c>
      <c r="G436" s="69">
        <f t="shared" si="207"/>
        <v>28089.699999999997</v>
      </c>
      <c r="H436" s="69">
        <f t="shared" si="207"/>
        <v>23411.7</v>
      </c>
      <c r="I436" s="69">
        <f t="shared" si="207"/>
        <v>24700.5</v>
      </c>
      <c r="J436" s="69">
        <f t="shared" si="207"/>
        <v>23045.699999999997</v>
      </c>
      <c r="K436" s="69">
        <f t="shared" si="207"/>
        <v>23013.5</v>
      </c>
      <c r="L436" s="69">
        <f t="shared" si="207"/>
        <v>17844</v>
      </c>
      <c r="M436" s="69">
        <f t="shared" si="207"/>
        <v>21847.399999999998</v>
      </c>
      <c r="N436" s="69">
        <f t="shared" si="207"/>
        <v>12067.4</v>
      </c>
      <c r="O436" s="69">
        <f t="shared" si="207"/>
        <v>11565.4</v>
      </c>
      <c r="W436" s="69">
        <f t="shared" ref="W436" si="208">W437+W438+W439+W440</f>
        <v>19320.599999999999</v>
      </c>
    </row>
    <row r="437" spans="1:25" ht="16.5" customHeight="1" x14ac:dyDescent="0.2">
      <c r="A437" s="140"/>
      <c r="B437" s="143"/>
      <c r="C437" s="99" t="s">
        <v>10</v>
      </c>
      <c r="D437" s="69">
        <f>E437+F437+G437+H437+I437+J437+K437+L437+M437+N437+O437+W437</f>
        <v>0</v>
      </c>
      <c r="E437" s="69">
        <f>E442+E452+E462</f>
        <v>0</v>
      </c>
      <c r="F437" s="69">
        <f t="shared" ref="F437:O437" si="209">F442+F452+F462</f>
        <v>0</v>
      </c>
      <c r="G437" s="69">
        <f t="shared" si="209"/>
        <v>0</v>
      </c>
      <c r="H437" s="69">
        <f t="shared" si="209"/>
        <v>0</v>
      </c>
      <c r="I437" s="69">
        <f t="shared" si="209"/>
        <v>0</v>
      </c>
      <c r="J437" s="69">
        <f t="shared" si="209"/>
        <v>0</v>
      </c>
      <c r="K437" s="69">
        <f t="shared" si="209"/>
        <v>0</v>
      </c>
      <c r="L437" s="69">
        <f t="shared" si="209"/>
        <v>0</v>
      </c>
      <c r="M437" s="69">
        <f t="shared" si="209"/>
        <v>0</v>
      </c>
      <c r="N437" s="69">
        <f t="shared" si="209"/>
        <v>0</v>
      </c>
      <c r="O437" s="69">
        <f t="shared" si="209"/>
        <v>0</v>
      </c>
      <c r="P437" s="60"/>
      <c r="Q437" s="60"/>
      <c r="W437" s="69">
        <f t="shared" ref="W437" si="210">W442+W452+W462</f>
        <v>0</v>
      </c>
    </row>
    <row r="438" spans="1:25" ht="18" customHeight="1" x14ac:dyDescent="0.2">
      <c r="A438" s="140"/>
      <c r="B438" s="143"/>
      <c r="C438" s="99" t="s">
        <v>11</v>
      </c>
      <c r="D438" s="69">
        <f t="shared" ref="D438:D440" si="211">E438+F438+G438+H438+I438+J438+K438+L438+M438+N438+O438+W438</f>
        <v>30898.300000000003</v>
      </c>
      <c r="E438" s="69">
        <f>E443+E448+E453+E458+E463</f>
        <v>0</v>
      </c>
      <c r="F438" s="69">
        <f t="shared" ref="F438:O438" si="212">F443+F448+F453+F458+F463</f>
        <v>0</v>
      </c>
      <c r="G438" s="69">
        <f t="shared" si="212"/>
        <v>0</v>
      </c>
      <c r="H438" s="69">
        <f t="shared" si="212"/>
        <v>0</v>
      </c>
      <c r="I438" s="69">
        <f t="shared" si="212"/>
        <v>16106.5</v>
      </c>
      <c r="J438" s="69">
        <f>J443+J448+J453+J458+J463</f>
        <v>7501.9</v>
      </c>
      <c r="K438" s="69">
        <f t="shared" si="212"/>
        <v>0</v>
      </c>
      <c r="L438" s="69">
        <f t="shared" si="212"/>
        <v>0</v>
      </c>
      <c r="M438" s="69">
        <f t="shared" si="212"/>
        <v>0</v>
      </c>
      <c r="N438" s="69">
        <f t="shared" si="212"/>
        <v>0</v>
      </c>
      <c r="O438" s="69">
        <f t="shared" si="212"/>
        <v>0</v>
      </c>
      <c r="W438" s="69">
        <f>W443+W448+W453+W458+W463+W468+W473+W483</f>
        <v>7289.9</v>
      </c>
    </row>
    <row r="439" spans="1:25" ht="18" customHeight="1" x14ac:dyDescent="0.2">
      <c r="A439" s="140"/>
      <c r="B439" s="143"/>
      <c r="C439" s="99" t="s">
        <v>12</v>
      </c>
      <c r="D439" s="69">
        <f t="shared" si="211"/>
        <v>222130.6</v>
      </c>
      <c r="E439" s="69">
        <f>E444+E454+E464+E469+E449+E459</f>
        <v>24704.6</v>
      </c>
      <c r="F439" s="69">
        <f t="shared" ref="F439:I439" si="213">F444+F454+F464+F469+F449+F459</f>
        <v>23418.400000000001</v>
      </c>
      <c r="G439" s="69">
        <f t="shared" si="213"/>
        <v>28089.699999999997</v>
      </c>
      <c r="H439" s="69">
        <f t="shared" si="213"/>
        <v>23411.7</v>
      </c>
      <c r="I439" s="69">
        <f t="shared" si="213"/>
        <v>8594</v>
      </c>
      <c r="J439" s="69">
        <f>J444+J454+J464+J469+J449+J459</f>
        <v>15543.8</v>
      </c>
      <c r="K439" s="69">
        <f>K444+K454+K464+K469+K449+K459+K474</f>
        <v>23013.5</v>
      </c>
      <c r="L439" s="69">
        <f t="shared" ref="L439" si="214">L444+L454+L464+L469+L449+L459+L474</f>
        <v>17844</v>
      </c>
      <c r="M439" s="69">
        <f>M444+M454+M464+M469+M449+M459+M474+M479</f>
        <v>21847.399999999998</v>
      </c>
      <c r="N439" s="69">
        <f t="shared" ref="N439:O439" si="215">N444+N454+N464+N469+N449+N459+N474+N479</f>
        <v>12067.4</v>
      </c>
      <c r="O439" s="69">
        <f t="shared" si="215"/>
        <v>11565.4</v>
      </c>
      <c r="W439" s="69">
        <f>W444+W454+W464+W469+W449+W459+W474+W479+W484</f>
        <v>12030.699999999999</v>
      </c>
    </row>
    <row r="440" spans="1:25" ht="33" customHeight="1" x14ac:dyDescent="0.2">
      <c r="A440" s="140"/>
      <c r="B440" s="143"/>
      <c r="C440" s="99" t="s">
        <v>13</v>
      </c>
      <c r="D440" s="69">
        <f t="shared" si="211"/>
        <v>0</v>
      </c>
      <c r="E440" s="69">
        <f>E445+E455+E465</f>
        <v>0</v>
      </c>
      <c r="F440" s="69">
        <f t="shared" ref="F440:O440" si="216">F445+F455+F465</f>
        <v>0</v>
      </c>
      <c r="G440" s="69">
        <f t="shared" si="216"/>
        <v>0</v>
      </c>
      <c r="H440" s="69">
        <f t="shared" si="216"/>
        <v>0</v>
      </c>
      <c r="I440" s="69">
        <f t="shared" si="216"/>
        <v>0</v>
      </c>
      <c r="J440" s="69">
        <f t="shared" si="216"/>
        <v>0</v>
      </c>
      <c r="K440" s="69">
        <f t="shared" si="216"/>
        <v>0</v>
      </c>
      <c r="L440" s="69">
        <f t="shared" si="216"/>
        <v>0</v>
      </c>
      <c r="M440" s="69">
        <f t="shared" si="216"/>
        <v>0</v>
      </c>
      <c r="N440" s="69">
        <f t="shared" si="216"/>
        <v>0</v>
      </c>
      <c r="O440" s="69">
        <f t="shared" si="216"/>
        <v>0</v>
      </c>
      <c r="W440" s="69">
        <f t="shared" ref="W440" si="217">W445+W455+W465</f>
        <v>0</v>
      </c>
    </row>
    <row r="441" spans="1:25" ht="15.75" x14ac:dyDescent="0.2">
      <c r="A441" s="140" t="s">
        <v>146</v>
      </c>
      <c r="B441" s="143" t="s">
        <v>52</v>
      </c>
      <c r="C441" s="99" t="s">
        <v>7</v>
      </c>
      <c r="D441" s="69">
        <f>E441+F441+G441+H441+I441+J441+K441+L441+M441+N441+O441+W441</f>
        <v>105690.09999999999</v>
      </c>
      <c r="E441" s="69">
        <f t="shared" ref="E441:O441" si="218">E442+E443+E444+E445</f>
        <v>5089.5</v>
      </c>
      <c r="F441" s="69">
        <f t="shared" si="218"/>
        <v>6465</v>
      </c>
      <c r="G441" s="69">
        <f t="shared" si="218"/>
        <v>8661.7999999999993</v>
      </c>
      <c r="H441" s="69">
        <f t="shared" si="218"/>
        <v>9358.2000000000007</v>
      </c>
      <c r="I441" s="69">
        <f t="shared" si="218"/>
        <v>8594</v>
      </c>
      <c r="J441" s="69">
        <f>J442+J443+J444+J445</f>
        <v>7198.9000000000005</v>
      </c>
      <c r="K441" s="69">
        <f t="shared" si="218"/>
        <v>12364.6</v>
      </c>
      <c r="L441" s="69">
        <f t="shared" si="218"/>
        <v>10751.5</v>
      </c>
      <c r="M441" s="69">
        <f t="shared" si="218"/>
        <v>15579</v>
      </c>
      <c r="N441" s="69">
        <f t="shared" si="218"/>
        <v>7700.2</v>
      </c>
      <c r="O441" s="69">
        <f t="shared" si="218"/>
        <v>6963.6999999999989</v>
      </c>
      <c r="W441" s="69">
        <f t="shared" ref="W441" si="219">W442+W443+W444+W445</f>
        <v>6963.7</v>
      </c>
    </row>
    <row r="442" spans="1:25" ht="15.75" x14ac:dyDescent="0.2">
      <c r="A442" s="140"/>
      <c r="B442" s="143"/>
      <c r="C442" s="99" t="s">
        <v>10</v>
      </c>
      <c r="D442" s="69">
        <f t="shared" ref="D442:D485" si="220">E442+F442+G442+H442+I442+J442+K442+L442+M442+N442+O442+W442</f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5" ht="15.75" x14ac:dyDescent="0.2">
      <c r="A443" s="140"/>
      <c r="B443" s="143"/>
      <c r="C443" s="99" t="s">
        <v>11</v>
      </c>
      <c r="D443" s="69">
        <f t="shared" si="220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W443" s="69">
        <v>0</v>
      </c>
    </row>
    <row r="444" spans="1:25" ht="15.75" x14ac:dyDescent="0.2">
      <c r="A444" s="140"/>
      <c r="B444" s="143"/>
      <c r="C444" s="99" t="s">
        <v>12</v>
      </c>
      <c r="D444" s="69">
        <f t="shared" si="220"/>
        <v>105690.09999999999</v>
      </c>
      <c r="E444" s="69">
        <v>5089.5</v>
      </c>
      <c r="F444" s="69">
        <v>6465</v>
      </c>
      <c r="G444" s="69">
        <v>8661.7999999999993</v>
      </c>
      <c r="H444" s="69">
        <v>9358.2000000000007</v>
      </c>
      <c r="I444" s="69">
        <v>8594</v>
      </c>
      <c r="J444" s="69">
        <f>2886.8+1860.3+2451.8</f>
        <v>7198.9000000000005</v>
      </c>
      <c r="K444" s="69">
        <f>8859.6+1000+555+1950</f>
        <v>12364.6</v>
      </c>
      <c r="L444" s="69">
        <f>5576.5+2175+1500+1500</f>
        <v>10751.5</v>
      </c>
      <c r="M444" s="69">
        <f>5913.1+343.4+650+400+2500+1246.2+4526.3</f>
        <v>15579</v>
      </c>
      <c r="N444" s="69">
        <f>5942+1430.8+327.4</f>
        <v>7700.2</v>
      </c>
      <c r="O444" s="69">
        <f>10976.3-3712.3-300.3</f>
        <v>6963.6999999999989</v>
      </c>
      <c r="W444" s="69">
        <v>6963.7</v>
      </c>
      <c r="X444" s="60"/>
      <c r="Y444" s="60"/>
    </row>
    <row r="445" spans="1:25" ht="36" customHeight="1" x14ac:dyDescent="0.2">
      <c r="A445" s="140"/>
      <c r="B445" s="143"/>
      <c r="C445" s="94" t="s">
        <v>13</v>
      </c>
      <c r="D445" s="69">
        <f t="shared" si="220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5" ht="15.75" x14ac:dyDescent="0.2">
      <c r="A446" s="140" t="s">
        <v>147</v>
      </c>
      <c r="B446" s="143" t="s">
        <v>365</v>
      </c>
      <c r="C446" s="99" t="s">
        <v>7</v>
      </c>
      <c r="D446" s="69">
        <f t="shared" si="220"/>
        <v>11065.3</v>
      </c>
      <c r="E446" s="69">
        <f t="shared" ref="E446:O446" si="221">E447+E448+E449+E450</f>
        <v>0</v>
      </c>
      <c r="F446" s="69">
        <f t="shared" si="221"/>
        <v>0</v>
      </c>
      <c r="G446" s="69">
        <f t="shared" si="221"/>
        <v>0</v>
      </c>
      <c r="H446" s="69">
        <f t="shared" si="221"/>
        <v>0</v>
      </c>
      <c r="I446" s="69">
        <f t="shared" si="221"/>
        <v>7430.4</v>
      </c>
      <c r="J446" s="69">
        <f t="shared" si="221"/>
        <v>3634.8999999999996</v>
      </c>
      <c r="K446" s="69">
        <f t="shared" si="221"/>
        <v>0</v>
      </c>
      <c r="L446" s="69">
        <f t="shared" si="221"/>
        <v>0</v>
      </c>
      <c r="M446" s="69">
        <f t="shared" si="221"/>
        <v>0</v>
      </c>
      <c r="N446" s="69">
        <f t="shared" si="221"/>
        <v>0</v>
      </c>
      <c r="O446" s="69">
        <f t="shared" si="221"/>
        <v>0</v>
      </c>
      <c r="W446" s="69">
        <f t="shared" ref="W446" si="222">W447+W448+W449+W450</f>
        <v>0</v>
      </c>
    </row>
    <row r="447" spans="1:25" ht="21" customHeight="1" x14ac:dyDescent="0.2">
      <c r="A447" s="140"/>
      <c r="B447" s="143"/>
      <c r="C447" s="99" t="s">
        <v>10</v>
      </c>
      <c r="D447" s="69">
        <f t="shared" si="220"/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W447" s="69">
        <v>0</v>
      </c>
    </row>
    <row r="448" spans="1:25" ht="15.75" x14ac:dyDescent="0.2">
      <c r="A448" s="140"/>
      <c r="B448" s="143"/>
      <c r="C448" s="99" t="s">
        <v>11</v>
      </c>
      <c r="D448" s="69">
        <f t="shared" si="220"/>
        <v>11065.3</v>
      </c>
      <c r="E448" s="69">
        <v>0</v>
      </c>
      <c r="F448" s="69">
        <v>0</v>
      </c>
      <c r="G448" s="69">
        <v>0</v>
      </c>
      <c r="H448" s="69">
        <v>0</v>
      </c>
      <c r="I448" s="69">
        <f>6602.5+827.9</f>
        <v>7430.4</v>
      </c>
      <c r="J448" s="69">
        <f>6521.7-2886.8</f>
        <v>3634.8999999999996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40"/>
      <c r="B449" s="143"/>
      <c r="C449" s="99" t="s">
        <v>12</v>
      </c>
      <c r="D449" s="69">
        <f t="shared" si="220"/>
        <v>0</v>
      </c>
      <c r="E449" s="69">
        <v>0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W449" s="69">
        <v>0</v>
      </c>
    </row>
    <row r="450" spans="1:25" ht="40.5" customHeight="1" x14ac:dyDescent="0.2">
      <c r="A450" s="140"/>
      <c r="B450" s="143"/>
      <c r="C450" s="94" t="s">
        <v>13</v>
      </c>
      <c r="D450" s="69">
        <f t="shared" si="220"/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W450" s="69">
        <v>0</v>
      </c>
    </row>
    <row r="451" spans="1:25" ht="15.75" customHeight="1" x14ac:dyDescent="0.2">
      <c r="A451" s="140" t="s">
        <v>148</v>
      </c>
      <c r="B451" s="143" t="s">
        <v>58</v>
      </c>
      <c r="C451" s="99" t="s">
        <v>7</v>
      </c>
      <c r="D451" s="69">
        <f t="shared" si="220"/>
        <v>110923.80000000002</v>
      </c>
      <c r="E451" s="69">
        <f t="shared" ref="E451:O451" si="223">E452+E453+E455+E454</f>
        <v>17919.099999999999</v>
      </c>
      <c r="F451" s="69">
        <f t="shared" si="223"/>
        <v>16953.400000000001</v>
      </c>
      <c r="G451" s="69">
        <f t="shared" si="223"/>
        <v>16137.9</v>
      </c>
      <c r="H451" s="69">
        <f t="shared" si="223"/>
        <v>14053.5</v>
      </c>
      <c r="I451" s="69">
        <f t="shared" si="223"/>
        <v>0</v>
      </c>
      <c r="J451" s="69">
        <f t="shared" si="223"/>
        <v>8344.9</v>
      </c>
      <c r="K451" s="69">
        <f t="shared" si="223"/>
        <v>10648.9</v>
      </c>
      <c r="L451" s="69">
        <f t="shared" si="223"/>
        <v>7072.5</v>
      </c>
      <c r="M451" s="69">
        <f t="shared" si="223"/>
        <v>6257.1</v>
      </c>
      <c r="N451" s="69">
        <f t="shared" si="223"/>
        <v>4359.3</v>
      </c>
      <c r="O451" s="69">
        <f t="shared" si="223"/>
        <v>4588.6000000000004</v>
      </c>
      <c r="W451" s="69">
        <f t="shared" ref="W451" si="224">W452+W453+W455+W454</f>
        <v>4588.6000000000004</v>
      </c>
    </row>
    <row r="452" spans="1:25" ht="15.75" customHeight="1" x14ac:dyDescent="0.2">
      <c r="A452" s="140"/>
      <c r="B452" s="143"/>
      <c r="C452" s="99" t="s">
        <v>10</v>
      </c>
      <c r="D452" s="69">
        <f t="shared" si="220"/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W452" s="69">
        <v>0</v>
      </c>
    </row>
    <row r="453" spans="1:25" ht="15.75" customHeight="1" x14ac:dyDescent="0.2">
      <c r="A453" s="140"/>
      <c r="B453" s="143"/>
      <c r="C453" s="99" t="s">
        <v>11</v>
      </c>
      <c r="D453" s="69">
        <f t="shared" si="220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W453" s="69">
        <v>0</v>
      </c>
    </row>
    <row r="454" spans="1:25" ht="15.75" customHeight="1" x14ac:dyDescent="0.2">
      <c r="A454" s="140"/>
      <c r="B454" s="143"/>
      <c r="C454" s="99" t="s">
        <v>12</v>
      </c>
      <c r="D454" s="69">
        <f t="shared" si="220"/>
        <v>110923.80000000002</v>
      </c>
      <c r="E454" s="69">
        <v>17919.099999999999</v>
      </c>
      <c r="F454" s="69">
        <v>16953.400000000001</v>
      </c>
      <c r="G454" s="69">
        <v>16137.9</v>
      </c>
      <c r="H454" s="69">
        <v>14053.5</v>
      </c>
      <c r="I454" s="69">
        <v>0</v>
      </c>
      <c r="J454" s="69">
        <f>0+2600+6251.4-506.5</f>
        <v>8344.9</v>
      </c>
      <c r="K454" s="69">
        <f>13474.9-2900+74</f>
        <v>10648.9</v>
      </c>
      <c r="L454" s="69">
        <f>5037.6+2000-40.6-15+90.5</f>
        <v>7072.5</v>
      </c>
      <c r="M454" s="57">
        <f>5341.7-1097.6-291.9+1000+990.2+314.8-0.1</f>
        <v>6257.1</v>
      </c>
      <c r="N454" s="69">
        <f>5367.8-710.4-298.1</f>
        <v>4359.3</v>
      </c>
      <c r="O454" s="69">
        <f>13511.2-8922.6</f>
        <v>4588.6000000000004</v>
      </c>
      <c r="W454" s="69">
        <v>4588.6000000000004</v>
      </c>
      <c r="X454" s="60"/>
      <c r="Y454" s="60"/>
    </row>
    <row r="455" spans="1:25" ht="36" customHeight="1" x14ac:dyDescent="0.2">
      <c r="A455" s="140"/>
      <c r="B455" s="143"/>
      <c r="C455" s="94" t="s">
        <v>13</v>
      </c>
      <c r="D455" s="69">
        <f t="shared" si="220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83">
        <v>0</v>
      </c>
      <c r="K455" s="83">
        <v>0</v>
      </c>
      <c r="L455" s="83">
        <v>0</v>
      </c>
      <c r="M455" s="83">
        <v>0</v>
      </c>
      <c r="N455" s="83">
        <v>0</v>
      </c>
      <c r="O455" s="83">
        <v>0</v>
      </c>
      <c r="W455" s="83">
        <v>0</v>
      </c>
    </row>
    <row r="456" spans="1:25" ht="18.75" customHeight="1" x14ac:dyDescent="0.2">
      <c r="A456" s="140" t="s">
        <v>209</v>
      </c>
      <c r="B456" s="143" t="s">
        <v>264</v>
      </c>
      <c r="C456" s="94" t="s">
        <v>7</v>
      </c>
      <c r="D456" s="69">
        <f t="shared" si="220"/>
        <v>12543.1</v>
      </c>
      <c r="E456" s="69">
        <f t="shared" ref="E456:O456" si="225">E457+E458+E460+E459</f>
        <v>0</v>
      </c>
      <c r="F456" s="69">
        <f t="shared" si="225"/>
        <v>0</v>
      </c>
      <c r="G456" s="69">
        <f t="shared" si="225"/>
        <v>0</v>
      </c>
      <c r="H456" s="69">
        <f t="shared" si="225"/>
        <v>0</v>
      </c>
      <c r="I456" s="69">
        <f t="shared" si="225"/>
        <v>8676.1</v>
      </c>
      <c r="J456" s="69">
        <f t="shared" si="225"/>
        <v>3867</v>
      </c>
      <c r="K456" s="69">
        <f t="shared" si="225"/>
        <v>0</v>
      </c>
      <c r="L456" s="69">
        <f t="shared" si="225"/>
        <v>0</v>
      </c>
      <c r="M456" s="69">
        <f t="shared" si="225"/>
        <v>0</v>
      </c>
      <c r="N456" s="69">
        <f t="shared" si="225"/>
        <v>0</v>
      </c>
      <c r="O456" s="69">
        <f t="shared" si="225"/>
        <v>0</v>
      </c>
      <c r="W456" s="69">
        <f t="shared" ref="W456" si="226">W457+W458+W460+W459</f>
        <v>0</v>
      </c>
    </row>
    <row r="457" spans="1:25" ht="18.75" customHeight="1" x14ac:dyDescent="0.2">
      <c r="A457" s="140"/>
      <c r="B457" s="143"/>
      <c r="C457" s="94" t="s">
        <v>10</v>
      </c>
      <c r="D457" s="69">
        <f t="shared" si="220"/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W457" s="69">
        <v>0</v>
      </c>
    </row>
    <row r="458" spans="1:25" ht="18.75" customHeight="1" x14ac:dyDescent="0.2">
      <c r="A458" s="140"/>
      <c r="B458" s="143"/>
      <c r="C458" s="94" t="s">
        <v>11</v>
      </c>
      <c r="D458" s="69">
        <f t="shared" si="220"/>
        <v>12543.1</v>
      </c>
      <c r="E458" s="69">
        <v>0</v>
      </c>
      <c r="F458" s="69">
        <v>0</v>
      </c>
      <c r="G458" s="69">
        <v>0</v>
      </c>
      <c r="H458" s="69">
        <v>0</v>
      </c>
      <c r="I458" s="69">
        <f>10280.7-1604.6</f>
        <v>8676.1</v>
      </c>
      <c r="J458" s="69">
        <f>10118.4-6251.4</f>
        <v>3867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8.75" customHeight="1" x14ac:dyDescent="0.2">
      <c r="A459" s="140"/>
      <c r="B459" s="143"/>
      <c r="C459" s="94" t="s">
        <v>12</v>
      </c>
      <c r="D459" s="69">
        <f t="shared" si="220"/>
        <v>0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W459" s="69">
        <v>0</v>
      </c>
    </row>
    <row r="460" spans="1:25" ht="36.75" customHeight="1" x14ac:dyDescent="0.2">
      <c r="A460" s="140"/>
      <c r="B460" s="143"/>
      <c r="C460" s="94" t="s">
        <v>13</v>
      </c>
      <c r="D460" s="69">
        <f t="shared" si="220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83">
        <v>0</v>
      </c>
      <c r="K460" s="83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40" t="s">
        <v>269</v>
      </c>
      <c r="B461" s="143" t="s">
        <v>22</v>
      </c>
      <c r="C461" s="99" t="s">
        <v>7</v>
      </c>
      <c r="D461" s="69">
        <f t="shared" si="220"/>
        <v>1696</v>
      </c>
      <c r="E461" s="69">
        <f t="shared" ref="E461:K461" si="227">E462+E463+E464+E465</f>
        <v>1696</v>
      </c>
      <c r="F461" s="69">
        <f t="shared" si="227"/>
        <v>0</v>
      </c>
      <c r="G461" s="69">
        <f t="shared" si="227"/>
        <v>0</v>
      </c>
      <c r="H461" s="69">
        <f t="shared" si="227"/>
        <v>0</v>
      </c>
      <c r="I461" s="69">
        <f t="shared" si="227"/>
        <v>0</v>
      </c>
      <c r="J461" s="69">
        <f t="shared" si="227"/>
        <v>0</v>
      </c>
      <c r="K461" s="69">
        <f t="shared" si="227"/>
        <v>0</v>
      </c>
      <c r="L461" s="69">
        <f>L462+L463+L464+L465</f>
        <v>0</v>
      </c>
      <c r="M461" s="69">
        <f>M462+M463+M464+M465</f>
        <v>0</v>
      </c>
      <c r="N461" s="69">
        <f>N462+N463+N464+N465</f>
        <v>0</v>
      </c>
      <c r="O461" s="69">
        <f>O462+O463+O464+O465</f>
        <v>0</v>
      </c>
      <c r="W461" s="69">
        <f>W462+W463+W464+W465</f>
        <v>0</v>
      </c>
    </row>
    <row r="462" spans="1:25" ht="15.75" customHeight="1" x14ac:dyDescent="0.2">
      <c r="A462" s="140"/>
      <c r="B462" s="143"/>
      <c r="C462" s="99" t="s">
        <v>10</v>
      </c>
      <c r="D462" s="69">
        <f t="shared" si="220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</row>
    <row r="463" spans="1:25" ht="15.75" customHeight="1" x14ac:dyDescent="0.2">
      <c r="A463" s="140"/>
      <c r="B463" s="143"/>
      <c r="C463" s="99" t="s">
        <v>11</v>
      </c>
      <c r="D463" s="69">
        <f t="shared" si="220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5.75" customHeight="1" x14ac:dyDescent="0.2">
      <c r="A464" s="140"/>
      <c r="B464" s="143"/>
      <c r="C464" s="99" t="s">
        <v>12</v>
      </c>
      <c r="D464" s="69">
        <f t="shared" si="220"/>
        <v>1696</v>
      </c>
      <c r="E464" s="69">
        <v>1696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W464" s="69">
        <v>0</v>
      </c>
    </row>
    <row r="465" spans="1:23" ht="36" customHeight="1" x14ac:dyDescent="0.2">
      <c r="A465" s="140"/>
      <c r="B465" s="143"/>
      <c r="C465" s="94" t="s">
        <v>13</v>
      </c>
      <c r="D465" s="69">
        <f t="shared" si="220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5.75" x14ac:dyDescent="0.2">
      <c r="A466" s="140" t="s">
        <v>270</v>
      </c>
      <c r="B466" s="140" t="s">
        <v>237</v>
      </c>
      <c r="C466" s="99" t="s">
        <v>7</v>
      </c>
      <c r="D466" s="69">
        <f t="shared" si="220"/>
        <v>3290</v>
      </c>
      <c r="E466" s="69">
        <f>E467+E468+E469+E470</f>
        <v>0</v>
      </c>
      <c r="F466" s="69">
        <f t="shared" ref="F466:K466" si="228">F467+F468+F469+F470</f>
        <v>0</v>
      </c>
      <c r="G466" s="69">
        <f t="shared" si="228"/>
        <v>3290</v>
      </c>
      <c r="H466" s="69">
        <f t="shared" si="228"/>
        <v>0</v>
      </c>
      <c r="I466" s="69">
        <f t="shared" si="228"/>
        <v>0</v>
      </c>
      <c r="J466" s="69">
        <f t="shared" si="228"/>
        <v>0</v>
      </c>
      <c r="K466" s="69">
        <f t="shared" si="228"/>
        <v>0</v>
      </c>
      <c r="L466" s="69">
        <f>L467+L468+L469+L470</f>
        <v>0</v>
      </c>
      <c r="M466" s="69">
        <f>M467+M468+M469+M470</f>
        <v>0</v>
      </c>
      <c r="N466" s="69">
        <f>N467+N468+N469+N470</f>
        <v>0</v>
      </c>
      <c r="O466" s="69">
        <f>O467+O468+O469+O470</f>
        <v>0</v>
      </c>
      <c r="W466" s="69">
        <f>W467+W468+W469+W470</f>
        <v>0</v>
      </c>
    </row>
    <row r="467" spans="1:23" ht="15.75" x14ac:dyDescent="0.2">
      <c r="A467" s="140"/>
      <c r="B467" s="140"/>
      <c r="C467" s="99" t="s">
        <v>10</v>
      </c>
      <c r="D467" s="69">
        <f t="shared" si="220"/>
        <v>0</v>
      </c>
      <c r="E467" s="69">
        <v>0</v>
      </c>
      <c r="F467" s="69">
        <v>0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W467" s="69">
        <v>0</v>
      </c>
    </row>
    <row r="468" spans="1:23" ht="15.75" x14ac:dyDescent="0.2">
      <c r="A468" s="140"/>
      <c r="B468" s="140"/>
      <c r="C468" s="99" t="s">
        <v>11</v>
      </c>
      <c r="D468" s="69">
        <f t="shared" si="220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69">
        <v>0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W468" s="69">
        <v>0</v>
      </c>
    </row>
    <row r="469" spans="1:23" ht="15.75" x14ac:dyDescent="0.2">
      <c r="A469" s="140"/>
      <c r="B469" s="140"/>
      <c r="C469" s="99" t="s">
        <v>12</v>
      </c>
      <c r="D469" s="69">
        <f t="shared" si="220"/>
        <v>3290</v>
      </c>
      <c r="E469" s="69">
        <v>0</v>
      </c>
      <c r="F469" s="69">
        <v>0</v>
      </c>
      <c r="G469" s="69">
        <v>3290</v>
      </c>
      <c r="H469" s="69">
        <v>0</v>
      </c>
      <c r="I469" s="69">
        <v>0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  <c r="W469" s="69">
        <v>0</v>
      </c>
    </row>
    <row r="470" spans="1:23" ht="30" customHeight="1" x14ac:dyDescent="0.2">
      <c r="A470" s="140"/>
      <c r="B470" s="140"/>
      <c r="C470" s="94" t="s">
        <v>13</v>
      </c>
      <c r="D470" s="69">
        <f t="shared" si="220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23.25" customHeight="1" x14ac:dyDescent="0.2">
      <c r="A471" s="140" t="s">
        <v>385</v>
      </c>
      <c r="B471" s="140" t="s">
        <v>395</v>
      </c>
      <c r="C471" s="99" t="s">
        <v>7</v>
      </c>
      <c r="D471" s="69">
        <f t="shared" si="220"/>
        <v>65.399999999999991</v>
      </c>
      <c r="E471" s="69">
        <f>SUM(E472:E475)</f>
        <v>0</v>
      </c>
      <c r="F471" s="69">
        <f t="shared" ref="F471:O471" si="229">SUM(F472:F475)</f>
        <v>0</v>
      </c>
      <c r="G471" s="69">
        <f t="shared" si="229"/>
        <v>0</v>
      </c>
      <c r="H471" s="69">
        <f t="shared" si="229"/>
        <v>0</v>
      </c>
      <c r="I471" s="69">
        <f t="shared" si="229"/>
        <v>0</v>
      </c>
      <c r="J471" s="69">
        <f t="shared" si="229"/>
        <v>0</v>
      </c>
      <c r="K471" s="69">
        <f t="shared" si="229"/>
        <v>0</v>
      </c>
      <c r="L471" s="69">
        <f t="shared" si="229"/>
        <v>20</v>
      </c>
      <c r="M471" s="69">
        <f t="shared" si="229"/>
        <v>11.299999999999999</v>
      </c>
      <c r="N471" s="69">
        <f t="shared" si="229"/>
        <v>7.9</v>
      </c>
      <c r="O471" s="69">
        <f t="shared" si="229"/>
        <v>13.1</v>
      </c>
      <c r="W471" s="69">
        <f t="shared" ref="W471" si="230">SUM(W472:W475)</f>
        <v>13.1</v>
      </c>
    </row>
    <row r="472" spans="1:23" ht="23.25" customHeight="1" x14ac:dyDescent="0.2">
      <c r="A472" s="140"/>
      <c r="B472" s="140"/>
      <c r="C472" s="99" t="s">
        <v>10</v>
      </c>
      <c r="D472" s="69">
        <f t="shared" si="220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23.25" customHeight="1" x14ac:dyDescent="0.2">
      <c r="A473" s="140"/>
      <c r="B473" s="140"/>
      <c r="C473" s="99" t="s">
        <v>11</v>
      </c>
      <c r="D473" s="69">
        <f t="shared" si="220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23.25" customHeight="1" x14ac:dyDescent="0.2">
      <c r="A474" s="140"/>
      <c r="B474" s="140"/>
      <c r="C474" s="99" t="s">
        <v>12</v>
      </c>
      <c r="D474" s="69">
        <f t="shared" si="220"/>
        <v>65.399999999999991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f>550.5-550.5</f>
        <v>0</v>
      </c>
      <c r="L474" s="69">
        <f>20</f>
        <v>20</v>
      </c>
      <c r="M474" s="69">
        <f>21.2-9.9</f>
        <v>11.299999999999999</v>
      </c>
      <c r="N474" s="69">
        <f>21.3-8-5.4</f>
        <v>7.9</v>
      </c>
      <c r="O474" s="69">
        <v>13.1</v>
      </c>
      <c r="W474" s="69">
        <v>13.1</v>
      </c>
    </row>
    <row r="475" spans="1:23" ht="35.25" customHeight="1" x14ac:dyDescent="0.2">
      <c r="A475" s="140"/>
      <c r="B475" s="140"/>
      <c r="C475" s="94" t="s">
        <v>13</v>
      </c>
      <c r="D475" s="69">
        <f t="shared" si="220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23.25" hidden="1" customHeight="1" x14ac:dyDescent="0.2">
      <c r="A476" s="140" t="s">
        <v>443</v>
      </c>
      <c r="B476" s="140" t="s">
        <v>444</v>
      </c>
      <c r="C476" s="99" t="s">
        <v>7</v>
      </c>
      <c r="D476" s="69">
        <f t="shared" si="220"/>
        <v>0</v>
      </c>
      <c r="E476" s="69">
        <f>SUM(E477:E480)</f>
        <v>0</v>
      </c>
      <c r="F476" s="69">
        <f t="shared" ref="F476:O476" si="231">SUM(F477:F480)</f>
        <v>0</v>
      </c>
      <c r="G476" s="69">
        <f t="shared" si="231"/>
        <v>0</v>
      </c>
      <c r="H476" s="69">
        <f t="shared" si="231"/>
        <v>0</v>
      </c>
      <c r="I476" s="69">
        <f t="shared" si="231"/>
        <v>0</v>
      </c>
      <c r="J476" s="69">
        <f t="shared" si="231"/>
        <v>0</v>
      </c>
      <c r="K476" s="69">
        <f t="shared" si="231"/>
        <v>0</v>
      </c>
      <c r="L476" s="69">
        <f t="shared" si="231"/>
        <v>0</v>
      </c>
      <c r="M476" s="69">
        <f t="shared" si="231"/>
        <v>0</v>
      </c>
      <c r="N476" s="69">
        <f t="shared" si="231"/>
        <v>0</v>
      </c>
      <c r="O476" s="69">
        <f t="shared" si="231"/>
        <v>0</v>
      </c>
      <c r="W476" s="69">
        <f t="shared" ref="W476" si="232">SUM(W477:W480)</f>
        <v>0</v>
      </c>
    </row>
    <row r="477" spans="1:23" ht="23.25" hidden="1" customHeight="1" x14ac:dyDescent="0.2">
      <c r="A477" s="140"/>
      <c r="B477" s="140"/>
      <c r="C477" s="99" t="s">
        <v>10</v>
      </c>
      <c r="D477" s="69">
        <f t="shared" si="220"/>
        <v>0</v>
      </c>
      <c r="E477" s="69">
        <v>0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23.25" hidden="1" customHeight="1" x14ac:dyDescent="0.2">
      <c r="A478" s="140"/>
      <c r="B478" s="140"/>
      <c r="C478" s="99" t="s">
        <v>11</v>
      </c>
      <c r="D478" s="69">
        <f t="shared" si="220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hidden="1" customHeight="1" x14ac:dyDescent="0.2">
      <c r="A479" s="140"/>
      <c r="B479" s="140"/>
      <c r="C479" s="99" t="s">
        <v>12</v>
      </c>
      <c r="D479" s="69">
        <f t="shared" si="220"/>
        <v>0</v>
      </c>
      <c r="E479" s="69">
        <v>0</v>
      </c>
      <c r="F479" s="69">
        <v>0</v>
      </c>
      <c r="G479" s="69">
        <v>0</v>
      </c>
      <c r="H479" s="69">
        <v>0</v>
      </c>
      <c r="I479" s="69">
        <v>0</v>
      </c>
      <c r="J479" s="69">
        <v>0</v>
      </c>
      <c r="K479" s="69">
        <f>550.5-550.5</f>
        <v>0</v>
      </c>
      <c r="L479" s="69">
        <v>0</v>
      </c>
      <c r="M479" s="69">
        <f>650-650</f>
        <v>0</v>
      </c>
      <c r="N479" s="69">
        <v>0</v>
      </c>
      <c r="O479" s="69">
        <v>0</v>
      </c>
      <c r="W479" s="69">
        <v>0</v>
      </c>
    </row>
    <row r="480" spans="1:23" ht="27" hidden="1" customHeight="1" x14ac:dyDescent="0.2">
      <c r="A480" s="140"/>
      <c r="B480" s="140"/>
      <c r="C480" s="94" t="s">
        <v>13</v>
      </c>
      <c r="D480" s="69">
        <f t="shared" si="220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40" t="s">
        <v>443</v>
      </c>
      <c r="B481" s="140" t="s">
        <v>472</v>
      </c>
      <c r="C481" s="99" t="s">
        <v>7</v>
      </c>
      <c r="D481" s="69">
        <f t="shared" si="220"/>
        <v>7755.2</v>
      </c>
      <c r="E481" s="69">
        <f>SUM(E482:E485)</f>
        <v>0</v>
      </c>
      <c r="F481" s="69">
        <f t="shared" ref="F481:O481" si="233">SUM(F482:F485)</f>
        <v>0</v>
      </c>
      <c r="G481" s="69">
        <f t="shared" si="233"/>
        <v>0</v>
      </c>
      <c r="H481" s="69">
        <f t="shared" si="233"/>
        <v>0</v>
      </c>
      <c r="I481" s="69">
        <f t="shared" si="233"/>
        <v>0</v>
      </c>
      <c r="J481" s="69">
        <f t="shared" si="233"/>
        <v>0</v>
      </c>
      <c r="K481" s="69">
        <f t="shared" si="233"/>
        <v>0</v>
      </c>
      <c r="L481" s="69">
        <f t="shared" si="233"/>
        <v>0</v>
      </c>
      <c r="M481" s="69">
        <f t="shared" si="233"/>
        <v>0</v>
      </c>
      <c r="N481" s="69">
        <f t="shared" si="233"/>
        <v>0</v>
      </c>
      <c r="O481" s="69">
        <f t="shared" si="233"/>
        <v>0</v>
      </c>
      <c r="W481" s="69">
        <f t="shared" ref="W481" si="234">SUM(W482:W485)</f>
        <v>7755.2</v>
      </c>
    </row>
    <row r="482" spans="1:23" ht="23.25" customHeight="1" x14ac:dyDescent="0.2">
      <c r="A482" s="140"/>
      <c r="B482" s="140"/>
      <c r="C482" s="99" t="s">
        <v>10</v>
      </c>
      <c r="D482" s="69">
        <f t="shared" si="220"/>
        <v>0</v>
      </c>
      <c r="E482" s="69">
        <v>0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23.25" customHeight="1" x14ac:dyDescent="0.2">
      <c r="A483" s="140"/>
      <c r="B483" s="140"/>
      <c r="C483" s="99" t="s">
        <v>11</v>
      </c>
      <c r="D483" s="69">
        <f t="shared" si="220"/>
        <v>7289.9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7289.9</v>
      </c>
    </row>
    <row r="484" spans="1:23" ht="23.25" customHeight="1" x14ac:dyDescent="0.2">
      <c r="A484" s="140"/>
      <c r="B484" s="140"/>
      <c r="C484" s="99" t="s">
        <v>12</v>
      </c>
      <c r="D484" s="69">
        <f t="shared" si="220"/>
        <v>465.3</v>
      </c>
      <c r="E484" s="69">
        <v>0</v>
      </c>
      <c r="F484" s="69">
        <v>0</v>
      </c>
      <c r="G484" s="69">
        <v>0</v>
      </c>
      <c r="H484" s="69">
        <v>0</v>
      </c>
      <c r="I484" s="69">
        <v>0</v>
      </c>
      <c r="J484" s="69">
        <v>0</v>
      </c>
      <c r="K484" s="69">
        <f>550.5-550.5</f>
        <v>0</v>
      </c>
      <c r="L484" s="69">
        <v>0</v>
      </c>
      <c r="M484" s="69">
        <v>0</v>
      </c>
      <c r="N484" s="69">
        <v>0</v>
      </c>
      <c r="O484" s="69">
        <v>0</v>
      </c>
      <c r="W484" s="69">
        <v>465.3</v>
      </c>
    </row>
    <row r="485" spans="1:23" ht="35.25" customHeight="1" x14ac:dyDescent="0.2">
      <c r="A485" s="140"/>
      <c r="B485" s="140"/>
      <c r="C485" s="94" t="s">
        <v>13</v>
      </c>
      <c r="D485" s="69">
        <f t="shared" si="220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15.75" x14ac:dyDescent="0.2">
      <c r="A486" s="140" t="s">
        <v>149</v>
      </c>
      <c r="B486" s="143" t="s">
        <v>379</v>
      </c>
      <c r="C486" s="99" t="s">
        <v>7</v>
      </c>
      <c r="D486" s="69">
        <f>E486+F486+G486+H486+I486+J486+K486+L486+M486+N486+O486+W486</f>
        <v>39395.299999999988</v>
      </c>
      <c r="E486" s="69">
        <f>E487+E488+E489+E491</f>
        <v>3741.9</v>
      </c>
      <c r="F486" s="69">
        <f t="shared" ref="F486:O486" si="235">F487+F488+F489+F491</f>
        <v>2450</v>
      </c>
      <c r="G486" s="69">
        <f t="shared" si="235"/>
        <v>2262.1</v>
      </c>
      <c r="H486" s="69">
        <f t="shared" si="235"/>
        <v>1999</v>
      </c>
      <c r="I486" s="69">
        <f t="shared" si="235"/>
        <v>13558.599999999999</v>
      </c>
      <c r="J486" s="69">
        <f>J487+J488+J489+J491</f>
        <v>8475.2999999999993</v>
      </c>
      <c r="K486" s="69">
        <f t="shared" si="235"/>
        <v>5424.9</v>
      </c>
      <c r="L486" s="69">
        <f t="shared" si="235"/>
        <v>1285.4000000000003</v>
      </c>
      <c r="M486" s="69">
        <f t="shared" si="235"/>
        <v>0</v>
      </c>
      <c r="N486" s="69">
        <f t="shared" si="235"/>
        <v>66.7</v>
      </c>
      <c r="O486" s="69">
        <f t="shared" si="235"/>
        <v>65.699999999999989</v>
      </c>
      <c r="W486" s="69">
        <f t="shared" ref="W486" si="236">W487+W488+W489+W491</f>
        <v>65.7</v>
      </c>
    </row>
    <row r="487" spans="1:23" ht="15.75" x14ac:dyDescent="0.2">
      <c r="A487" s="140"/>
      <c r="B487" s="143"/>
      <c r="C487" s="99" t="s">
        <v>10</v>
      </c>
      <c r="D487" s="69">
        <f t="shared" ref="D487:D523" si="237">E487+F487+G487+H487+I487+J487+K487+L487+M487+N487+O487+W487</f>
        <v>0</v>
      </c>
      <c r="E487" s="69">
        <f>E493+E500+E505</f>
        <v>0</v>
      </c>
      <c r="F487" s="69">
        <f t="shared" ref="F487:O487" si="238">F493+F500+F505</f>
        <v>0</v>
      </c>
      <c r="G487" s="69">
        <f t="shared" si="238"/>
        <v>0</v>
      </c>
      <c r="H487" s="69">
        <f t="shared" si="238"/>
        <v>0</v>
      </c>
      <c r="I487" s="69">
        <f t="shared" si="238"/>
        <v>0</v>
      </c>
      <c r="J487" s="69">
        <f t="shared" si="238"/>
        <v>0</v>
      </c>
      <c r="K487" s="69">
        <f t="shared" si="238"/>
        <v>0</v>
      </c>
      <c r="L487" s="69">
        <f t="shared" si="238"/>
        <v>0</v>
      </c>
      <c r="M487" s="69">
        <f t="shared" si="238"/>
        <v>0</v>
      </c>
      <c r="N487" s="69">
        <f t="shared" si="238"/>
        <v>0</v>
      </c>
      <c r="O487" s="69">
        <f t="shared" si="238"/>
        <v>0</v>
      </c>
      <c r="W487" s="69">
        <f t="shared" ref="W487" si="239">W493+W500+W505</f>
        <v>0</v>
      </c>
    </row>
    <row r="488" spans="1:23" ht="15.75" x14ac:dyDescent="0.2">
      <c r="A488" s="140"/>
      <c r="B488" s="143"/>
      <c r="C488" s="99" t="s">
        <v>11</v>
      </c>
      <c r="D488" s="69">
        <f t="shared" si="237"/>
        <v>22235.8</v>
      </c>
      <c r="E488" s="69">
        <f t="shared" ref="E488:O488" si="240">E494+E501+E506</f>
        <v>0</v>
      </c>
      <c r="F488" s="69">
        <f t="shared" si="240"/>
        <v>0</v>
      </c>
      <c r="G488" s="69">
        <f t="shared" si="240"/>
        <v>0</v>
      </c>
      <c r="H488" s="69">
        <f t="shared" si="240"/>
        <v>0</v>
      </c>
      <c r="I488" s="69">
        <f>I494+I501+I506</f>
        <v>11234.3</v>
      </c>
      <c r="J488" s="69">
        <f>J494+J501+J506+J511</f>
        <v>7403.7</v>
      </c>
      <c r="K488" s="69">
        <f t="shared" si="240"/>
        <v>3597.8</v>
      </c>
      <c r="L488" s="69">
        <f t="shared" si="240"/>
        <v>0</v>
      </c>
      <c r="M488" s="69">
        <f t="shared" si="240"/>
        <v>0</v>
      </c>
      <c r="N488" s="69">
        <f t="shared" si="240"/>
        <v>0</v>
      </c>
      <c r="O488" s="69">
        <f t="shared" si="240"/>
        <v>0</v>
      </c>
      <c r="W488" s="69">
        <f t="shared" ref="W488" si="241">W494+W501+W506</f>
        <v>0</v>
      </c>
    </row>
    <row r="489" spans="1:23" ht="31.5" x14ac:dyDescent="0.2">
      <c r="A489" s="140"/>
      <c r="B489" s="143"/>
      <c r="C489" s="99" t="s">
        <v>65</v>
      </c>
      <c r="D489" s="69">
        <f t="shared" si="237"/>
        <v>17159.500000000004</v>
      </c>
      <c r="E489" s="69">
        <f>E495+E502+E507+E512</f>
        <v>3741.9</v>
      </c>
      <c r="F489" s="69">
        <f t="shared" ref="F489:J489" si="242">F495+F502+F507+F512</f>
        <v>2450</v>
      </c>
      <c r="G489" s="69">
        <f t="shared" si="242"/>
        <v>2262.1</v>
      </c>
      <c r="H489" s="69">
        <f t="shared" si="242"/>
        <v>1999</v>
      </c>
      <c r="I489" s="69">
        <f>I495+I502+I507+I512</f>
        <v>2324.3000000000002</v>
      </c>
      <c r="J489" s="69">
        <f t="shared" si="242"/>
        <v>1071.5999999999999</v>
      </c>
      <c r="K489" s="69">
        <f>K495+K502+K507+K512+K517</f>
        <v>1827.1</v>
      </c>
      <c r="L489" s="69">
        <f>L495+L502+L507+L512+L517+L522</f>
        <v>1285.4000000000003</v>
      </c>
      <c r="M489" s="69">
        <f t="shared" ref="M489:O489" si="243">M495+M502+M507+M512+M517</f>
        <v>0</v>
      </c>
      <c r="N489" s="69">
        <f t="shared" si="243"/>
        <v>66.7</v>
      </c>
      <c r="O489" s="69">
        <f t="shared" si="243"/>
        <v>65.699999999999989</v>
      </c>
      <c r="W489" s="69">
        <f t="shared" ref="W489" si="244">W495+W502+W507+W512+W517</f>
        <v>65.7</v>
      </c>
    </row>
    <row r="490" spans="1:23" ht="31.5" x14ac:dyDescent="0.2">
      <c r="A490" s="140"/>
      <c r="B490" s="143"/>
      <c r="C490" s="74" t="s">
        <v>79</v>
      </c>
      <c r="D490" s="69">
        <f t="shared" si="237"/>
        <v>3631.3</v>
      </c>
      <c r="E490" s="69">
        <f t="shared" ref="E490:K490" si="245">E496+E503+E508</f>
        <v>2932.6</v>
      </c>
      <c r="F490" s="69">
        <f t="shared" si="245"/>
        <v>0</v>
      </c>
      <c r="G490" s="69">
        <f t="shared" si="245"/>
        <v>0</v>
      </c>
      <c r="H490" s="69">
        <f t="shared" si="245"/>
        <v>0</v>
      </c>
      <c r="I490" s="69">
        <f>I496+I503+I508</f>
        <v>698.7</v>
      </c>
      <c r="J490" s="69">
        <f t="shared" si="245"/>
        <v>0</v>
      </c>
      <c r="K490" s="69">
        <f t="shared" si="245"/>
        <v>0</v>
      </c>
      <c r="L490" s="69">
        <f>L496+L503+L508</f>
        <v>0</v>
      </c>
      <c r="M490" s="69">
        <f>M496+M503+M508</f>
        <v>0</v>
      </c>
      <c r="N490" s="69">
        <f>N496+N503+N508</f>
        <v>0</v>
      </c>
      <c r="O490" s="69">
        <f>O496+O503+O508</f>
        <v>0</v>
      </c>
      <c r="W490" s="69">
        <f>W496+W503+W508</f>
        <v>0</v>
      </c>
    </row>
    <row r="491" spans="1:23" ht="39" customHeight="1" x14ac:dyDescent="0.2">
      <c r="A491" s="140"/>
      <c r="B491" s="143"/>
      <c r="C491" s="99" t="s">
        <v>13</v>
      </c>
      <c r="D491" s="69">
        <f t="shared" si="237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15.75" x14ac:dyDescent="0.2">
      <c r="A492" s="140" t="s">
        <v>150</v>
      </c>
      <c r="B492" s="143" t="s">
        <v>45</v>
      </c>
      <c r="C492" s="99" t="s">
        <v>7</v>
      </c>
      <c r="D492" s="69">
        <f t="shared" si="237"/>
        <v>11185.6</v>
      </c>
      <c r="E492" s="69">
        <f t="shared" ref="E492:O492" si="246">E493+E494+E495+E498</f>
        <v>3437.4</v>
      </c>
      <c r="F492" s="69">
        <f t="shared" si="246"/>
        <v>2000</v>
      </c>
      <c r="G492" s="69">
        <f t="shared" si="246"/>
        <v>2000</v>
      </c>
      <c r="H492" s="69">
        <f t="shared" si="246"/>
        <v>1905.6</v>
      </c>
      <c r="I492" s="69">
        <f t="shared" si="246"/>
        <v>698.69999999999993</v>
      </c>
      <c r="J492" s="69">
        <f t="shared" si="246"/>
        <v>599</v>
      </c>
      <c r="K492" s="69">
        <f t="shared" si="246"/>
        <v>544.9</v>
      </c>
      <c r="L492" s="69">
        <f t="shared" si="246"/>
        <v>0</v>
      </c>
      <c r="M492" s="69">
        <f t="shared" si="246"/>
        <v>0</v>
      </c>
      <c r="N492" s="69">
        <f t="shared" si="246"/>
        <v>0</v>
      </c>
      <c r="O492" s="69">
        <f t="shared" si="246"/>
        <v>0</v>
      </c>
      <c r="W492" s="69">
        <f t="shared" ref="W492" si="247">W493+W494+W495+W498</f>
        <v>0</v>
      </c>
    </row>
    <row r="493" spans="1:23" ht="15.75" customHeight="1" x14ac:dyDescent="0.2">
      <c r="A493" s="140"/>
      <c r="B493" s="143"/>
      <c r="C493" s="99" t="s">
        <v>10</v>
      </c>
      <c r="D493" s="69">
        <f t="shared" si="237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customHeight="1" x14ac:dyDescent="0.2">
      <c r="A494" s="140"/>
      <c r="B494" s="143"/>
      <c r="C494" s="99" t="s">
        <v>11</v>
      </c>
      <c r="D494" s="69">
        <f t="shared" si="237"/>
        <v>0</v>
      </c>
      <c r="E494" s="69">
        <v>0</v>
      </c>
      <c r="F494" s="69">
        <v>0</v>
      </c>
      <c r="G494" s="69">
        <v>0</v>
      </c>
      <c r="H494" s="69">
        <v>0</v>
      </c>
      <c r="I494" s="69">
        <v>0</v>
      </c>
      <c r="J494" s="69">
        <v>0</v>
      </c>
      <c r="K494" s="69">
        <v>0</v>
      </c>
      <c r="L494" s="69">
        <v>0</v>
      </c>
      <c r="M494" s="69">
        <v>0</v>
      </c>
      <c r="N494" s="69">
        <v>0</v>
      </c>
      <c r="O494" s="69">
        <v>0</v>
      </c>
      <c r="W494" s="69">
        <v>0</v>
      </c>
    </row>
    <row r="495" spans="1:23" ht="31.5" x14ac:dyDescent="0.2">
      <c r="A495" s="140"/>
      <c r="B495" s="143"/>
      <c r="C495" s="99" t="s">
        <v>65</v>
      </c>
      <c r="D495" s="69">
        <f t="shared" si="237"/>
        <v>11185.6</v>
      </c>
      <c r="E495" s="69">
        <v>3437.4</v>
      </c>
      <c r="F495" s="69">
        <v>2000</v>
      </c>
      <c r="G495" s="69">
        <v>2000</v>
      </c>
      <c r="H495" s="69">
        <v>1905.6</v>
      </c>
      <c r="I495" s="69">
        <f>734.4-35.7</f>
        <v>698.69999999999993</v>
      </c>
      <c r="J495" s="69">
        <f>1907.8-800-508.8</f>
        <v>599</v>
      </c>
      <c r="K495" s="69">
        <f>775.5-230.6</f>
        <v>544.9</v>
      </c>
      <c r="L495" s="69">
        <f>181.4-181.4+181.4-181.4</f>
        <v>0</v>
      </c>
      <c r="M495" s="69">
        <f>192.3-192.3</f>
        <v>0</v>
      </c>
      <c r="N495" s="69">
        <f>193.3-193.3</f>
        <v>0</v>
      </c>
      <c r="O495" s="69">
        <f>866.6-866.6</f>
        <v>0</v>
      </c>
      <c r="W495" s="69">
        <f>866.6-866.6</f>
        <v>0</v>
      </c>
    </row>
    <row r="496" spans="1:23" ht="31.5" x14ac:dyDescent="0.2">
      <c r="A496" s="140"/>
      <c r="B496" s="143"/>
      <c r="C496" s="74" t="s">
        <v>79</v>
      </c>
      <c r="D496" s="69">
        <f t="shared" si="237"/>
        <v>3631.3</v>
      </c>
      <c r="E496" s="71">
        <v>2932.6</v>
      </c>
      <c r="F496" s="71">
        <v>0</v>
      </c>
      <c r="G496" s="71">
        <v>0</v>
      </c>
      <c r="H496" s="71">
        <v>0</v>
      </c>
      <c r="I496" s="71">
        <v>698.7</v>
      </c>
      <c r="J496" s="71">
        <v>0</v>
      </c>
      <c r="K496" s="71">
        <v>0</v>
      </c>
      <c r="L496" s="71">
        <v>0</v>
      </c>
      <c r="M496" s="71">
        <v>0</v>
      </c>
      <c r="N496" s="71">
        <v>0</v>
      </c>
      <c r="O496" s="71">
        <v>0</v>
      </c>
      <c r="W496" s="71">
        <v>0</v>
      </c>
    </row>
    <row r="497" spans="1:23" ht="31.5" x14ac:dyDescent="0.2">
      <c r="A497" s="140"/>
      <c r="B497" s="143"/>
      <c r="C497" s="74" t="s">
        <v>81</v>
      </c>
      <c r="D497" s="69">
        <f t="shared" si="237"/>
        <v>475.5</v>
      </c>
      <c r="E497" s="69">
        <v>0</v>
      </c>
      <c r="F497" s="69">
        <v>0</v>
      </c>
      <c r="G497" s="69">
        <v>0</v>
      </c>
      <c r="H497" s="69">
        <v>475.5</v>
      </c>
      <c r="I497" s="69">
        <v>0</v>
      </c>
      <c r="J497" s="69">
        <v>0</v>
      </c>
      <c r="K497" s="69"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0</v>
      </c>
    </row>
    <row r="498" spans="1:23" ht="40.5" customHeight="1" x14ac:dyDescent="0.2">
      <c r="A498" s="140"/>
      <c r="B498" s="143"/>
      <c r="C498" s="99" t="s">
        <v>13</v>
      </c>
      <c r="D498" s="69">
        <f t="shared" si="237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21" customHeight="1" x14ac:dyDescent="0.2">
      <c r="A499" s="140" t="s">
        <v>151</v>
      </c>
      <c r="B499" s="143" t="s">
        <v>50</v>
      </c>
      <c r="C499" s="99" t="s">
        <v>7</v>
      </c>
      <c r="D499" s="69">
        <f t="shared" si="237"/>
        <v>1654.5000000000002</v>
      </c>
      <c r="E499" s="69">
        <f t="shared" ref="E499:O499" si="248">E500+E501+E502+E503</f>
        <v>304.5</v>
      </c>
      <c r="F499" s="69">
        <f t="shared" si="248"/>
        <v>450</v>
      </c>
      <c r="G499" s="69">
        <f t="shared" si="248"/>
        <v>262.10000000000002</v>
      </c>
      <c r="H499" s="69">
        <f t="shared" si="248"/>
        <v>93.4</v>
      </c>
      <c r="I499" s="69">
        <f t="shared" si="248"/>
        <v>346.4</v>
      </c>
      <c r="J499" s="69">
        <f t="shared" si="248"/>
        <v>0</v>
      </c>
      <c r="K499" s="69">
        <f t="shared" si="248"/>
        <v>0</v>
      </c>
      <c r="L499" s="69">
        <f t="shared" si="248"/>
        <v>0</v>
      </c>
      <c r="M499" s="69">
        <f t="shared" si="248"/>
        <v>0</v>
      </c>
      <c r="N499" s="69">
        <f t="shared" si="248"/>
        <v>66.7</v>
      </c>
      <c r="O499" s="69">
        <f t="shared" si="248"/>
        <v>65.699999999999989</v>
      </c>
      <c r="W499" s="69">
        <f t="shared" ref="W499" si="249">W500+W501+W502+W503</f>
        <v>65.7</v>
      </c>
    </row>
    <row r="500" spans="1:23" ht="17.25" customHeight="1" x14ac:dyDescent="0.2">
      <c r="A500" s="140"/>
      <c r="B500" s="143"/>
      <c r="C500" s="99" t="s">
        <v>10</v>
      </c>
      <c r="D500" s="69">
        <f t="shared" si="237"/>
        <v>0</v>
      </c>
      <c r="E500" s="69">
        <v>0</v>
      </c>
      <c r="F500" s="69">
        <v>0</v>
      </c>
      <c r="G500" s="69">
        <v>0</v>
      </c>
      <c r="H500" s="69">
        <v>0</v>
      </c>
      <c r="I500" s="69">
        <v>0</v>
      </c>
      <c r="J500" s="69">
        <v>0</v>
      </c>
      <c r="K500" s="69">
        <v>0</v>
      </c>
      <c r="L500" s="69">
        <v>0</v>
      </c>
      <c r="M500" s="69">
        <v>0</v>
      </c>
      <c r="N500" s="69">
        <v>0</v>
      </c>
      <c r="O500" s="69">
        <v>0</v>
      </c>
      <c r="W500" s="69">
        <v>0</v>
      </c>
    </row>
    <row r="501" spans="1:23" ht="17.25" customHeight="1" x14ac:dyDescent="0.2">
      <c r="A501" s="140"/>
      <c r="B501" s="143"/>
      <c r="C501" s="99" t="s">
        <v>11</v>
      </c>
      <c r="D501" s="69">
        <f t="shared" si="237"/>
        <v>0</v>
      </c>
      <c r="E501" s="69">
        <v>0</v>
      </c>
      <c r="F501" s="69">
        <v>0</v>
      </c>
      <c r="G501" s="69">
        <v>0</v>
      </c>
      <c r="H501" s="69">
        <v>0</v>
      </c>
      <c r="I501" s="69">
        <v>0</v>
      </c>
      <c r="J501" s="69">
        <v>0</v>
      </c>
      <c r="K501" s="69">
        <v>0</v>
      </c>
      <c r="L501" s="69">
        <v>0</v>
      </c>
      <c r="M501" s="69">
        <v>0</v>
      </c>
      <c r="N501" s="69">
        <v>0</v>
      </c>
      <c r="O501" s="69">
        <v>0</v>
      </c>
      <c r="W501" s="69">
        <v>0</v>
      </c>
    </row>
    <row r="502" spans="1:23" ht="21" customHeight="1" x14ac:dyDescent="0.2">
      <c r="A502" s="140"/>
      <c r="B502" s="143"/>
      <c r="C502" s="99" t="s">
        <v>12</v>
      </c>
      <c r="D502" s="69">
        <f t="shared" si="237"/>
        <v>1654.5000000000002</v>
      </c>
      <c r="E502" s="69">
        <v>304.5</v>
      </c>
      <c r="F502" s="69">
        <v>450</v>
      </c>
      <c r="G502" s="69">
        <v>262.10000000000002</v>
      </c>
      <c r="H502" s="69">
        <v>93.4</v>
      </c>
      <c r="I502" s="69">
        <f>504.9-158.5</f>
        <v>346.4</v>
      </c>
      <c r="J502" s="69">
        <f>227.7-227.7</f>
        <v>0</v>
      </c>
      <c r="K502" s="69">
        <f>420-320-100</f>
        <v>0</v>
      </c>
      <c r="L502" s="69">
        <f>56.6-56.6+56.6-56.6</f>
        <v>0</v>
      </c>
      <c r="M502" s="69">
        <f>75-4.2-70.8+70.8-70.8</f>
        <v>0</v>
      </c>
      <c r="N502" s="69">
        <f>60.3+6.4</f>
        <v>66.7</v>
      </c>
      <c r="O502" s="69">
        <f>139.2-73.5</f>
        <v>65.699999999999989</v>
      </c>
      <c r="W502" s="69">
        <v>65.7</v>
      </c>
    </row>
    <row r="503" spans="1:23" ht="37.5" customHeight="1" x14ac:dyDescent="0.2">
      <c r="A503" s="140"/>
      <c r="B503" s="143"/>
      <c r="C503" s="99" t="s">
        <v>13</v>
      </c>
      <c r="D503" s="69">
        <f t="shared" si="237"/>
        <v>0</v>
      </c>
      <c r="E503" s="69">
        <v>0</v>
      </c>
      <c r="F503" s="69">
        <v>0</v>
      </c>
      <c r="G503" s="69">
        <v>0</v>
      </c>
      <c r="H503" s="69">
        <v>0</v>
      </c>
      <c r="I503" s="69">
        <v>0</v>
      </c>
      <c r="J503" s="69">
        <v>0</v>
      </c>
      <c r="K503" s="69">
        <v>0</v>
      </c>
      <c r="L503" s="69">
        <v>0</v>
      </c>
      <c r="M503" s="69">
        <v>0</v>
      </c>
      <c r="N503" s="69">
        <v>0</v>
      </c>
      <c r="O503" s="69">
        <v>0</v>
      </c>
      <c r="W503" s="69">
        <v>0</v>
      </c>
    </row>
    <row r="504" spans="1:23" ht="15.75" x14ac:dyDescent="0.2">
      <c r="A504" s="140" t="s">
        <v>276</v>
      </c>
      <c r="B504" s="143" t="s">
        <v>274</v>
      </c>
      <c r="C504" s="84" t="s">
        <v>7</v>
      </c>
      <c r="D504" s="69">
        <f t="shared" si="237"/>
        <v>24217.200000000001</v>
      </c>
      <c r="E504" s="83">
        <f>E505+E506+E507+E508</f>
        <v>0</v>
      </c>
      <c r="F504" s="83">
        <f t="shared" ref="F504:O504" si="250">F505+F506+F507+F508</f>
        <v>0</v>
      </c>
      <c r="G504" s="83">
        <f t="shared" si="250"/>
        <v>0</v>
      </c>
      <c r="H504" s="83">
        <f t="shared" si="250"/>
        <v>0</v>
      </c>
      <c r="I504" s="83">
        <f t="shared" si="250"/>
        <v>12513.5</v>
      </c>
      <c r="J504" s="83">
        <f t="shared" si="250"/>
        <v>7876.2999999999993</v>
      </c>
      <c r="K504" s="83">
        <f t="shared" si="250"/>
        <v>3827.4</v>
      </c>
      <c r="L504" s="83">
        <f t="shared" si="250"/>
        <v>0</v>
      </c>
      <c r="M504" s="83">
        <f t="shared" si="250"/>
        <v>0</v>
      </c>
      <c r="N504" s="83">
        <f t="shared" si="250"/>
        <v>0</v>
      </c>
      <c r="O504" s="83">
        <f t="shared" si="250"/>
        <v>0</v>
      </c>
      <c r="W504" s="83">
        <f t="shared" ref="W504" si="251">W505+W506+W507+W508</f>
        <v>0</v>
      </c>
    </row>
    <row r="505" spans="1:23" ht="15.75" x14ac:dyDescent="0.2">
      <c r="A505" s="140"/>
      <c r="B505" s="144"/>
      <c r="C505" s="94" t="s">
        <v>10</v>
      </c>
      <c r="D505" s="69">
        <f t="shared" si="237"/>
        <v>0</v>
      </c>
      <c r="E505" s="83">
        <v>0</v>
      </c>
      <c r="F505" s="83">
        <v>0</v>
      </c>
      <c r="G505" s="83">
        <v>0</v>
      </c>
      <c r="H505" s="83">
        <v>0</v>
      </c>
      <c r="I505" s="83">
        <v>0</v>
      </c>
      <c r="J505" s="83">
        <v>0</v>
      </c>
      <c r="K505" s="83">
        <v>0</v>
      </c>
      <c r="L505" s="83">
        <v>0</v>
      </c>
      <c r="M505" s="83">
        <v>0</v>
      </c>
      <c r="N505" s="83">
        <v>0</v>
      </c>
      <c r="O505" s="83">
        <v>0</v>
      </c>
      <c r="W505" s="83">
        <v>0</v>
      </c>
    </row>
    <row r="506" spans="1:23" ht="15.75" x14ac:dyDescent="0.2">
      <c r="A506" s="140"/>
      <c r="B506" s="144"/>
      <c r="C506" s="94" t="s">
        <v>11</v>
      </c>
      <c r="D506" s="69">
        <f t="shared" si="237"/>
        <v>22235.8</v>
      </c>
      <c r="E506" s="83">
        <v>0</v>
      </c>
      <c r="F506" s="83">
        <v>0</v>
      </c>
      <c r="G506" s="83">
        <v>0</v>
      </c>
      <c r="H506" s="83">
        <v>0</v>
      </c>
      <c r="I506" s="83">
        <v>11234.3</v>
      </c>
      <c r="J506" s="83">
        <v>7403.7</v>
      </c>
      <c r="K506" s="83">
        <v>3597.8</v>
      </c>
      <c r="L506" s="83">
        <v>0</v>
      </c>
      <c r="M506" s="83">
        <v>0</v>
      </c>
      <c r="N506" s="83">
        <v>0</v>
      </c>
      <c r="O506" s="83">
        <v>0</v>
      </c>
      <c r="W506" s="83">
        <v>0</v>
      </c>
    </row>
    <row r="507" spans="1:23" ht="15.75" x14ac:dyDescent="0.2">
      <c r="A507" s="140"/>
      <c r="B507" s="144"/>
      <c r="C507" s="94" t="s">
        <v>12</v>
      </c>
      <c r="D507" s="69">
        <f t="shared" si="237"/>
        <v>1981.3999999999999</v>
      </c>
      <c r="E507" s="83">
        <v>0</v>
      </c>
      <c r="F507" s="83">
        <v>0</v>
      </c>
      <c r="G507" s="83">
        <v>0</v>
      </c>
      <c r="H507" s="83">
        <v>0</v>
      </c>
      <c r="I507" s="83">
        <f>1850-570.8</f>
        <v>1279.2</v>
      </c>
      <c r="J507" s="83">
        <f>3000-545.9-1981.5</f>
        <v>472.59999999999991</v>
      </c>
      <c r="K507" s="83">
        <v>229.6</v>
      </c>
      <c r="L507" s="83">
        <f>61.2-61.2</f>
        <v>0</v>
      </c>
      <c r="M507" s="83">
        <v>0</v>
      </c>
      <c r="N507" s="83">
        <v>0</v>
      </c>
      <c r="O507" s="83">
        <v>0</v>
      </c>
      <c r="W507" s="83">
        <v>0</v>
      </c>
    </row>
    <row r="508" spans="1:23" ht="15" customHeight="1" x14ac:dyDescent="0.2">
      <c r="A508" s="140"/>
      <c r="B508" s="144"/>
      <c r="C508" s="94" t="s">
        <v>13</v>
      </c>
      <c r="D508" s="69">
        <f t="shared" si="237"/>
        <v>0</v>
      </c>
      <c r="E508" s="83">
        <v>0</v>
      </c>
      <c r="F508" s="83">
        <v>0</v>
      </c>
      <c r="G508" s="83">
        <v>0</v>
      </c>
      <c r="H508" s="83">
        <v>0</v>
      </c>
      <c r="I508" s="83">
        <v>0</v>
      </c>
      <c r="J508" s="83">
        <v>0</v>
      </c>
      <c r="K508" s="83">
        <v>0</v>
      </c>
      <c r="L508" s="83">
        <v>0</v>
      </c>
      <c r="M508" s="83">
        <v>0</v>
      </c>
      <c r="N508" s="83">
        <v>0</v>
      </c>
      <c r="O508" s="83">
        <v>0</v>
      </c>
      <c r="W508" s="83">
        <v>0</v>
      </c>
    </row>
    <row r="509" spans="1:23" ht="15.75" hidden="1" x14ac:dyDescent="0.2">
      <c r="A509" s="140"/>
      <c r="B509" s="143" t="s">
        <v>289</v>
      </c>
      <c r="C509" s="84" t="s">
        <v>7</v>
      </c>
      <c r="D509" s="69">
        <f t="shared" si="237"/>
        <v>0</v>
      </c>
      <c r="E509" s="83">
        <f>E510+E511+E512+E513</f>
        <v>0</v>
      </c>
      <c r="F509" s="83">
        <f t="shared" ref="F509:O509" si="252">F510+F511+F512+F513</f>
        <v>0</v>
      </c>
      <c r="G509" s="83">
        <f t="shared" si="252"/>
        <v>0</v>
      </c>
      <c r="H509" s="83">
        <f t="shared" si="252"/>
        <v>0</v>
      </c>
      <c r="I509" s="83">
        <f t="shared" si="252"/>
        <v>0</v>
      </c>
      <c r="J509" s="83">
        <f t="shared" si="252"/>
        <v>0</v>
      </c>
      <c r="K509" s="83">
        <f t="shared" si="252"/>
        <v>0</v>
      </c>
      <c r="L509" s="83">
        <f t="shared" si="252"/>
        <v>0</v>
      </c>
      <c r="M509" s="83">
        <f t="shared" si="252"/>
        <v>0</v>
      </c>
      <c r="N509" s="83">
        <f t="shared" si="252"/>
        <v>0</v>
      </c>
      <c r="O509" s="83">
        <f t="shared" si="252"/>
        <v>0</v>
      </c>
      <c r="W509" s="83">
        <f t="shared" ref="W509" si="253">W510+W511+W512+W513</f>
        <v>0</v>
      </c>
    </row>
    <row r="510" spans="1:23" ht="15.75" hidden="1" x14ac:dyDescent="0.2">
      <c r="A510" s="140"/>
      <c r="B510" s="144"/>
      <c r="C510" s="94" t="s">
        <v>10</v>
      </c>
      <c r="D510" s="69">
        <f t="shared" si="237"/>
        <v>0</v>
      </c>
      <c r="E510" s="83">
        <v>0</v>
      </c>
      <c r="F510" s="83">
        <v>0</v>
      </c>
      <c r="G510" s="83">
        <v>0</v>
      </c>
      <c r="H510" s="83">
        <v>0</v>
      </c>
      <c r="I510" s="83">
        <v>0</v>
      </c>
      <c r="J510" s="83">
        <v>0</v>
      </c>
      <c r="K510" s="83">
        <v>0</v>
      </c>
      <c r="L510" s="83">
        <v>0</v>
      </c>
      <c r="M510" s="83">
        <v>0</v>
      </c>
      <c r="N510" s="83">
        <v>0</v>
      </c>
      <c r="O510" s="83">
        <v>0</v>
      </c>
      <c r="W510" s="83">
        <v>0</v>
      </c>
    </row>
    <row r="511" spans="1:23" ht="15.75" hidden="1" x14ac:dyDescent="0.2">
      <c r="A511" s="140"/>
      <c r="B511" s="144"/>
      <c r="C511" s="94" t="s">
        <v>11</v>
      </c>
      <c r="D511" s="69">
        <f t="shared" si="237"/>
        <v>0</v>
      </c>
      <c r="E511" s="83">
        <v>0</v>
      </c>
      <c r="F511" s="83">
        <v>0</v>
      </c>
      <c r="G511" s="83">
        <v>0</v>
      </c>
      <c r="H511" s="83">
        <v>0</v>
      </c>
      <c r="I511" s="83">
        <v>0</v>
      </c>
      <c r="J511" s="83">
        <v>0</v>
      </c>
      <c r="K511" s="83">
        <v>0</v>
      </c>
      <c r="L511" s="83">
        <v>0</v>
      </c>
      <c r="M511" s="83">
        <v>0</v>
      </c>
      <c r="N511" s="83">
        <v>0</v>
      </c>
      <c r="O511" s="83">
        <v>0</v>
      </c>
      <c r="W511" s="83">
        <v>0</v>
      </c>
    </row>
    <row r="512" spans="1:23" ht="15.75" hidden="1" x14ac:dyDescent="0.2">
      <c r="A512" s="140"/>
      <c r="B512" s="144"/>
      <c r="C512" s="94" t="s">
        <v>12</v>
      </c>
      <c r="D512" s="69">
        <f t="shared" si="237"/>
        <v>0</v>
      </c>
      <c r="E512" s="83">
        <v>0</v>
      </c>
      <c r="F512" s="83">
        <v>0</v>
      </c>
      <c r="G512" s="83">
        <v>0</v>
      </c>
      <c r="H512" s="83">
        <v>0</v>
      </c>
      <c r="I512" s="83">
        <v>0</v>
      </c>
      <c r="J512" s="83">
        <v>0</v>
      </c>
      <c r="K512" s="83">
        <v>0</v>
      </c>
      <c r="L512" s="83">
        <v>0</v>
      </c>
      <c r="M512" s="83">
        <v>0</v>
      </c>
      <c r="N512" s="83">
        <v>0</v>
      </c>
      <c r="O512" s="83">
        <f>N512*104%</f>
        <v>0</v>
      </c>
      <c r="W512" s="83">
        <f>V512*104%</f>
        <v>0</v>
      </c>
    </row>
    <row r="513" spans="1:23" ht="18.75" hidden="1" customHeight="1" x14ac:dyDescent="0.2">
      <c r="A513" s="140"/>
      <c r="B513" s="144"/>
      <c r="C513" s="94" t="s">
        <v>13</v>
      </c>
      <c r="D513" s="69">
        <f t="shared" si="237"/>
        <v>0</v>
      </c>
      <c r="E513" s="83">
        <v>0</v>
      </c>
      <c r="F513" s="83">
        <v>0</v>
      </c>
      <c r="G513" s="83">
        <v>0</v>
      </c>
      <c r="H513" s="83">
        <v>0</v>
      </c>
      <c r="I513" s="83">
        <v>0</v>
      </c>
      <c r="J513" s="83">
        <v>0</v>
      </c>
      <c r="K513" s="83">
        <v>0</v>
      </c>
      <c r="L513" s="83">
        <v>0</v>
      </c>
      <c r="M513" s="83">
        <v>0</v>
      </c>
      <c r="N513" s="83">
        <v>0</v>
      </c>
      <c r="O513" s="83">
        <v>0</v>
      </c>
      <c r="W513" s="83">
        <v>0</v>
      </c>
    </row>
    <row r="514" spans="1:23" ht="18" customHeight="1" x14ac:dyDescent="0.2">
      <c r="A514" s="140" t="s">
        <v>291</v>
      </c>
      <c r="B514" s="137" t="s">
        <v>403</v>
      </c>
      <c r="C514" s="84" t="s">
        <v>7</v>
      </c>
      <c r="D514" s="69">
        <f t="shared" si="237"/>
        <v>1052.5999999999999</v>
      </c>
      <c r="E514" s="83">
        <f>E515+E516+E517+E518</f>
        <v>0</v>
      </c>
      <c r="F514" s="83">
        <f t="shared" ref="F514:O514" si="254">F515+F516+F517+F518</f>
        <v>0</v>
      </c>
      <c r="G514" s="83">
        <f t="shared" si="254"/>
        <v>0</v>
      </c>
      <c r="H514" s="83">
        <f t="shared" si="254"/>
        <v>0</v>
      </c>
      <c r="I514" s="83">
        <f t="shared" si="254"/>
        <v>0</v>
      </c>
      <c r="J514" s="83">
        <f t="shared" si="254"/>
        <v>0</v>
      </c>
      <c r="K514" s="83">
        <f t="shared" si="254"/>
        <v>1052.5999999999999</v>
      </c>
      <c r="L514" s="83">
        <f t="shared" si="254"/>
        <v>0</v>
      </c>
      <c r="M514" s="83">
        <f t="shared" si="254"/>
        <v>0</v>
      </c>
      <c r="N514" s="83">
        <f t="shared" si="254"/>
        <v>0</v>
      </c>
      <c r="O514" s="83">
        <f t="shared" si="254"/>
        <v>0</v>
      </c>
      <c r="W514" s="83">
        <f t="shared" ref="W514" si="255">W515+W516+W517+W518</f>
        <v>0</v>
      </c>
    </row>
    <row r="515" spans="1:23" ht="18" customHeight="1" x14ac:dyDescent="0.2">
      <c r="A515" s="140"/>
      <c r="B515" s="138"/>
      <c r="C515" s="94" t="s">
        <v>10</v>
      </c>
      <c r="D515" s="69">
        <f t="shared" si="237"/>
        <v>0</v>
      </c>
      <c r="E515" s="83">
        <v>0</v>
      </c>
      <c r="F515" s="83">
        <v>0</v>
      </c>
      <c r="G515" s="83">
        <v>0</v>
      </c>
      <c r="H515" s="83">
        <v>0</v>
      </c>
      <c r="I515" s="83">
        <v>0</v>
      </c>
      <c r="J515" s="83">
        <v>0</v>
      </c>
      <c r="K515" s="83">
        <v>0</v>
      </c>
      <c r="L515" s="83">
        <v>0</v>
      </c>
      <c r="M515" s="83">
        <v>0</v>
      </c>
      <c r="N515" s="83">
        <v>0</v>
      </c>
      <c r="O515" s="83">
        <v>0</v>
      </c>
      <c r="W515" s="83">
        <v>0</v>
      </c>
    </row>
    <row r="516" spans="1:23" ht="18" customHeight="1" x14ac:dyDescent="0.2">
      <c r="A516" s="140"/>
      <c r="B516" s="138"/>
      <c r="C516" s="94" t="s">
        <v>11</v>
      </c>
      <c r="D516" s="69">
        <f t="shared" si="237"/>
        <v>0</v>
      </c>
      <c r="E516" s="83">
        <v>0</v>
      </c>
      <c r="F516" s="83">
        <v>0</v>
      </c>
      <c r="G516" s="83">
        <v>0</v>
      </c>
      <c r="H516" s="83">
        <v>0</v>
      </c>
      <c r="I516" s="83">
        <v>0</v>
      </c>
      <c r="J516" s="83">
        <v>0</v>
      </c>
      <c r="K516" s="83">
        <v>0</v>
      </c>
      <c r="L516" s="83">
        <v>0</v>
      </c>
      <c r="M516" s="83">
        <v>0</v>
      </c>
      <c r="N516" s="83">
        <v>0</v>
      </c>
      <c r="O516" s="83">
        <v>0</v>
      </c>
      <c r="W516" s="83">
        <v>0</v>
      </c>
    </row>
    <row r="517" spans="1:23" ht="18" customHeight="1" x14ac:dyDescent="0.2">
      <c r="A517" s="140"/>
      <c r="B517" s="138"/>
      <c r="C517" s="94" t="s">
        <v>12</v>
      </c>
      <c r="D517" s="69">
        <f t="shared" si="237"/>
        <v>1052.5999999999999</v>
      </c>
      <c r="E517" s="83">
        <v>0</v>
      </c>
      <c r="F517" s="83">
        <v>0</v>
      </c>
      <c r="G517" s="83">
        <v>0</v>
      </c>
      <c r="H517" s="83">
        <v>0</v>
      </c>
      <c r="I517" s="83">
        <v>0</v>
      </c>
      <c r="J517" s="83">
        <v>0</v>
      </c>
      <c r="K517" s="83">
        <v>1052.5999999999999</v>
      </c>
      <c r="L517" s="83">
        <v>0</v>
      </c>
      <c r="M517" s="83">
        <v>0</v>
      </c>
      <c r="N517" s="83">
        <v>0</v>
      </c>
      <c r="O517" s="83">
        <v>0</v>
      </c>
      <c r="W517" s="83">
        <v>0</v>
      </c>
    </row>
    <row r="518" spans="1:23" ht="33" customHeight="1" x14ac:dyDescent="0.2">
      <c r="A518" s="140"/>
      <c r="B518" s="139"/>
      <c r="C518" s="94" t="s">
        <v>13</v>
      </c>
      <c r="D518" s="69">
        <f t="shared" si="237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8" customHeight="1" x14ac:dyDescent="0.2">
      <c r="A519" s="140" t="s">
        <v>434</v>
      </c>
      <c r="B519" s="134" t="s">
        <v>433</v>
      </c>
      <c r="C519" s="84" t="s">
        <v>7</v>
      </c>
      <c r="D519" s="69">
        <f t="shared" si="237"/>
        <v>1285.4000000000003</v>
      </c>
      <c r="E519" s="83">
        <f>E520+E521+E522+E523</f>
        <v>0</v>
      </c>
      <c r="F519" s="83">
        <f t="shared" ref="F519:H519" si="256">F520+F521+F522+F523</f>
        <v>0</v>
      </c>
      <c r="G519" s="83">
        <f t="shared" si="256"/>
        <v>0</v>
      </c>
      <c r="H519" s="83">
        <f t="shared" si="256"/>
        <v>0</v>
      </c>
      <c r="I519" s="83">
        <f>I520+I521+I522+I523</f>
        <v>0</v>
      </c>
      <c r="J519" s="83">
        <f t="shared" ref="J519:O519" si="257">J520+J521+J522+J523</f>
        <v>0</v>
      </c>
      <c r="K519" s="83">
        <f t="shared" si="257"/>
        <v>0</v>
      </c>
      <c r="L519" s="83">
        <f t="shared" si="257"/>
        <v>1285.4000000000003</v>
      </c>
      <c r="M519" s="83">
        <f t="shared" si="257"/>
        <v>0</v>
      </c>
      <c r="N519" s="83">
        <f t="shared" si="257"/>
        <v>0</v>
      </c>
      <c r="O519" s="83">
        <f t="shared" si="257"/>
        <v>0</v>
      </c>
      <c r="W519" s="83">
        <f t="shared" ref="W519" si="258">W520+W521+W522+W523</f>
        <v>0</v>
      </c>
    </row>
    <row r="520" spans="1:23" ht="18" customHeight="1" x14ac:dyDescent="0.2">
      <c r="A520" s="140"/>
      <c r="B520" s="135"/>
      <c r="C520" s="94" t="s">
        <v>10</v>
      </c>
      <c r="D520" s="69">
        <f t="shared" si="237"/>
        <v>0</v>
      </c>
      <c r="E520" s="83">
        <v>0</v>
      </c>
      <c r="F520" s="83">
        <v>0</v>
      </c>
      <c r="G520" s="83">
        <v>0</v>
      </c>
      <c r="H520" s="83">
        <v>0</v>
      </c>
      <c r="I520" s="83">
        <v>0</v>
      </c>
      <c r="J520" s="83">
        <v>0</v>
      </c>
      <c r="K520" s="83">
        <v>0</v>
      </c>
      <c r="L520" s="83"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18" customHeight="1" x14ac:dyDescent="0.2">
      <c r="A521" s="140"/>
      <c r="B521" s="135"/>
      <c r="C521" s="94" t="s">
        <v>11</v>
      </c>
      <c r="D521" s="69">
        <f t="shared" si="237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customHeight="1" x14ac:dyDescent="0.2">
      <c r="A522" s="140"/>
      <c r="B522" s="135"/>
      <c r="C522" s="94" t="s">
        <v>12</v>
      </c>
      <c r="D522" s="69">
        <f t="shared" si="237"/>
        <v>1285.4000000000003</v>
      </c>
      <c r="E522" s="83">
        <v>0</v>
      </c>
      <c r="F522" s="83">
        <v>0</v>
      </c>
      <c r="G522" s="83">
        <v>0</v>
      </c>
      <c r="H522" s="83">
        <v>0</v>
      </c>
      <c r="I522" s="83">
        <v>0</v>
      </c>
      <c r="J522" s="83">
        <v>0</v>
      </c>
      <c r="K522" s="83">
        <v>0</v>
      </c>
      <c r="L522" s="83">
        <f>2677.9-256.7-1135.8</f>
        <v>1285.4000000000003</v>
      </c>
      <c r="M522" s="83">
        <v>0</v>
      </c>
      <c r="N522" s="83">
        <v>0</v>
      </c>
      <c r="O522" s="83">
        <v>0</v>
      </c>
      <c r="W522" s="83">
        <v>0</v>
      </c>
    </row>
    <row r="523" spans="1:23" ht="49.5" customHeight="1" x14ac:dyDescent="0.2">
      <c r="A523" s="140"/>
      <c r="B523" s="136"/>
      <c r="C523" s="94" t="s">
        <v>13</v>
      </c>
      <c r="D523" s="69">
        <f t="shared" si="237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5.75" x14ac:dyDescent="0.2">
      <c r="A524" s="140" t="s">
        <v>312</v>
      </c>
      <c r="B524" s="143" t="s">
        <v>369</v>
      </c>
      <c r="C524" s="84" t="s">
        <v>7</v>
      </c>
      <c r="D524" s="83">
        <f>E524+F524+G524+H524+I524+J524+K524+L524+M524+N524+O524+W524</f>
        <v>424805.23</v>
      </c>
      <c r="E524" s="83">
        <f>E525+E526+E527+E528</f>
        <v>0</v>
      </c>
      <c r="F524" s="83">
        <f t="shared" ref="F524:O524" si="259">F525+F526+F527+F528</f>
        <v>0</v>
      </c>
      <c r="G524" s="83">
        <f t="shared" si="259"/>
        <v>0</v>
      </c>
      <c r="H524" s="83">
        <f t="shared" si="259"/>
        <v>0</v>
      </c>
      <c r="I524" s="83">
        <f t="shared" si="259"/>
        <v>0</v>
      </c>
      <c r="J524" s="83">
        <f t="shared" si="259"/>
        <v>208238.7</v>
      </c>
      <c r="K524" s="83">
        <f>K525+K526+K527+K528</f>
        <v>216566.53</v>
      </c>
      <c r="L524" s="83">
        <f t="shared" si="259"/>
        <v>0</v>
      </c>
      <c r="M524" s="83">
        <f t="shared" si="259"/>
        <v>0</v>
      </c>
      <c r="N524" s="83">
        <f t="shared" si="259"/>
        <v>0</v>
      </c>
      <c r="O524" s="83">
        <f t="shared" si="259"/>
        <v>0</v>
      </c>
      <c r="W524" s="83">
        <f t="shared" ref="W524" si="260">W525+W526+W527+W528</f>
        <v>0</v>
      </c>
    </row>
    <row r="525" spans="1:23" ht="15.75" x14ac:dyDescent="0.2">
      <c r="A525" s="140"/>
      <c r="B525" s="144"/>
      <c r="C525" s="94" t="s">
        <v>10</v>
      </c>
      <c r="D525" s="83">
        <f t="shared" ref="D525:D543" si="261">E525+F525+G525+H525+I525+J525+K525+L525+M525+N525+O525+W525</f>
        <v>115023.2</v>
      </c>
      <c r="E525" s="83">
        <f t="shared" ref="E525:O525" si="262">E530+E535</f>
        <v>0</v>
      </c>
      <c r="F525" s="83">
        <f t="shared" si="262"/>
        <v>0</v>
      </c>
      <c r="G525" s="83">
        <f t="shared" si="262"/>
        <v>0</v>
      </c>
      <c r="H525" s="83">
        <f t="shared" si="262"/>
        <v>0</v>
      </c>
      <c r="I525" s="83">
        <f t="shared" si="262"/>
        <v>0</v>
      </c>
      <c r="J525" s="83">
        <f t="shared" si="262"/>
        <v>0</v>
      </c>
      <c r="K525" s="83">
        <f t="shared" si="262"/>
        <v>115023.2</v>
      </c>
      <c r="L525" s="83">
        <f t="shared" si="262"/>
        <v>0</v>
      </c>
      <c r="M525" s="83">
        <f t="shared" si="262"/>
        <v>0</v>
      </c>
      <c r="N525" s="83">
        <f t="shared" si="262"/>
        <v>0</v>
      </c>
      <c r="O525" s="83">
        <f t="shared" si="262"/>
        <v>0</v>
      </c>
      <c r="W525" s="83">
        <f t="shared" ref="W525" si="263">W530+W535</f>
        <v>0</v>
      </c>
    </row>
    <row r="526" spans="1:23" ht="15.75" x14ac:dyDescent="0.2">
      <c r="A526" s="140"/>
      <c r="B526" s="144"/>
      <c r="C526" s="94" t="s">
        <v>11</v>
      </c>
      <c r="D526" s="83">
        <f t="shared" si="261"/>
        <v>287838.81</v>
      </c>
      <c r="E526" s="83">
        <f>E531+E536</f>
        <v>0</v>
      </c>
      <c r="F526" s="83">
        <f t="shared" ref="F526:O526" si="264">F531+F536</f>
        <v>0</v>
      </c>
      <c r="G526" s="83">
        <f t="shared" si="264"/>
        <v>0</v>
      </c>
      <c r="H526" s="83">
        <f t="shared" si="264"/>
        <v>0</v>
      </c>
      <c r="I526" s="83">
        <f t="shared" si="264"/>
        <v>0</v>
      </c>
      <c r="J526" s="83">
        <f t="shared" si="264"/>
        <v>193000</v>
      </c>
      <c r="K526" s="83">
        <f t="shared" si="264"/>
        <v>94838.81</v>
      </c>
      <c r="L526" s="83">
        <f t="shared" si="264"/>
        <v>0</v>
      </c>
      <c r="M526" s="83">
        <f t="shared" si="264"/>
        <v>0</v>
      </c>
      <c r="N526" s="83">
        <f t="shared" si="264"/>
        <v>0</v>
      </c>
      <c r="O526" s="83">
        <f t="shared" si="264"/>
        <v>0</v>
      </c>
      <c r="W526" s="83">
        <f t="shared" ref="W526" si="265">W531+W536</f>
        <v>0</v>
      </c>
    </row>
    <row r="527" spans="1:23" ht="15.75" x14ac:dyDescent="0.2">
      <c r="A527" s="140"/>
      <c r="B527" s="144"/>
      <c r="C527" s="94" t="s">
        <v>12</v>
      </c>
      <c r="D527" s="83">
        <f t="shared" si="261"/>
        <v>21943.22</v>
      </c>
      <c r="E527" s="83">
        <f>E532+E537</f>
        <v>0</v>
      </c>
      <c r="F527" s="83">
        <f t="shared" ref="F527:O527" si="266">F532+F537</f>
        <v>0</v>
      </c>
      <c r="G527" s="83">
        <f t="shared" si="266"/>
        <v>0</v>
      </c>
      <c r="H527" s="83">
        <f t="shared" si="266"/>
        <v>0</v>
      </c>
      <c r="I527" s="83">
        <f t="shared" si="266"/>
        <v>0</v>
      </c>
      <c r="J527" s="83">
        <f t="shared" si="266"/>
        <v>15238.7</v>
      </c>
      <c r="K527" s="83">
        <f>K532+K537+K542</f>
        <v>6704.52</v>
      </c>
      <c r="L527" s="83">
        <f t="shared" si="266"/>
        <v>0</v>
      </c>
      <c r="M527" s="83">
        <f t="shared" si="266"/>
        <v>0</v>
      </c>
      <c r="N527" s="83">
        <f t="shared" si="266"/>
        <v>0</v>
      </c>
      <c r="O527" s="83">
        <f t="shared" si="266"/>
        <v>0</v>
      </c>
      <c r="W527" s="83">
        <f t="shared" ref="W527" si="267">W532+W537</f>
        <v>0</v>
      </c>
    </row>
    <row r="528" spans="1:23" ht="15.75" x14ac:dyDescent="0.2">
      <c r="A528" s="140"/>
      <c r="B528" s="144"/>
      <c r="C528" s="94" t="s">
        <v>13</v>
      </c>
      <c r="D528" s="83">
        <f t="shared" si="261"/>
        <v>0</v>
      </c>
      <c r="E528" s="83">
        <f>E533+E538</f>
        <v>0</v>
      </c>
      <c r="F528" s="83">
        <f t="shared" ref="F528:O528" si="268">F533+F538</f>
        <v>0</v>
      </c>
      <c r="G528" s="83">
        <f t="shared" si="268"/>
        <v>0</v>
      </c>
      <c r="H528" s="83">
        <f t="shared" si="268"/>
        <v>0</v>
      </c>
      <c r="I528" s="83">
        <f t="shared" si="268"/>
        <v>0</v>
      </c>
      <c r="J528" s="83">
        <f t="shared" si="268"/>
        <v>0</v>
      </c>
      <c r="K528" s="83">
        <f t="shared" si="268"/>
        <v>0</v>
      </c>
      <c r="L528" s="83">
        <f t="shared" si="268"/>
        <v>0</v>
      </c>
      <c r="M528" s="83">
        <f t="shared" si="268"/>
        <v>0</v>
      </c>
      <c r="N528" s="83">
        <f t="shared" si="268"/>
        <v>0</v>
      </c>
      <c r="O528" s="83">
        <f t="shared" si="268"/>
        <v>0</v>
      </c>
      <c r="W528" s="83">
        <f t="shared" ref="W528" si="269">W533+W538</f>
        <v>0</v>
      </c>
    </row>
    <row r="529" spans="1:23" ht="29.25" customHeight="1" x14ac:dyDescent="0.2">
      <c r="A529" s="140" t="s">
        <v>332</v>
      </c>
      <c r="B529" s="143" t="s">
        <v>398</v>
      </c>
      <c r="C529" s="84" t="s">
        <v>7</v>
      </c>
      <c r="D529" s="83">
        <f t="shared" si="261"/>
        <v>420220.53</v>
      </c>
      <c r="E529" s="69">
        <f>E530+E531+E532+E533</f>
        <v>0</v>
      </c>
      <c r="F529" s="69">
        <f t="shared" ref="F529:O529" si="270">F530+F531+F532+F533</f>
        <v>0</v>
      </c>
      <c r="G529" s="69">
        <f t="shared" si="270"/>
        <v>0</v>
      </c>
      <c r="H529" s="69">
        <f t="shared" si="270"/>
        <v>0</v>
      </c>
      <c r="I529" s="69">
        <f t="shared" si="270"/>
        <v>0</v>
      </c>
      <c r="J529" s="69">
        <f t="shared" si="270"/>
        <v>208238.7</v>
      </c>
      <c r="K529" s="69">
        <f t="shared" si="270"/>
        <v>211981.83000000002</v>
      </c>
      <c r="L529" s="69">
        <f t="shared" si="270"/>
        <v>0</v>
      </c>
      <c r="M529" s="69">
        <f t="shared" si="270"/>
        <v>0</v>
      </c>
      <c r="N529" s="69">
        <f t="shared" si="270"/>
        <v>0</v>
      </c>
      <c r="O529" s="69">
        <f t="shared" si="270"/>
        <v>0</v>
      </c>
      <c r="W529" s="69">
        <f t="shared" ref="W529" si="271">W530+W531+W532+W533</f>
        <v>0</v>
      </c>
    </row>
    <row r="530" spans="1:23" ht="24" customHeight="1" x14ac:dyDescent="0.2">
      <c r="A530" s="140"/>
      <c r="B530" s="144"/>
      <c r="C530" s="94" t="s">
        <v>10</v>
      </c>
      <c r="D530" s="83">
        <f t="shared" si="261"/>
        <v>115023.2</v>
      </c>
      <c r="E530" s="69">
        <v>0</v>
      </c>
      <c r="F530" s="69">
        <v>0</v>
      </c>
      <c r="G530" s="69">
        <v>0</v>
      </c>
      <c r="H530" s="69">
        <v>0</v>
      </c>
      <c r="I530" s="69">
        <v>0</v>
      </c>
      <c r="J530" s="69">
        <v>0</v>
      </c>
      <c r="K530" s="69">
        <v>115023.2</v>
      </c>
      <c r="L530" s="69">
        <v>0</v>
      </c>
      <c r="M530" s="69">
        <v>0</v>
      </c>
      <c r="N530" s="69">
        <v>0</v>
      </c>
      <c r="O530" s="69">
        <v>0</v>
      </c>
      <c r="W530" s="69">
        <v>0</v>
      </c>
    </row>
    <row r="531" spans="1:23" ht="24" customHeight="1" x14ac:dyDescent="0.2">
      <c r="A531" s="140"/>
      <c r="B531" s="144"/>
      <c r="C531" s="94" t="s">
        <v>11</v>
      </c>
      <c r="D531" s="83">
        <f t="shared" si="261"/>
        <v>287838.81</v>
      </c>
      <c r="E531" s="69">
        <v>0</v>
      </c>
      <c r="F531" s="69">
        <v>0</v>
      </c>
      <c r="G531" s="69">
        <v>0</v>
      </c>
      <c r="H531" s="69">
        <v>0</v>
      </c>
      <c r="I531" s="69">
        <v>0</v>
      </c>
      <c r="J531" s="69">
        <v>193000</v>
      </c>
      <c r="K531" s="69">
        <v>94838.81</v>
      </c>
      <c r="L531" s="69">
        <v>0</v>
      </c>
      <c r="M531" s="69">
        <v>0</v>
      </c>
      <c r="N531" s="69">
        <v>0</v>
      </c>
      <c r="O531" s="69">
        <v>0</v>
      </c>
      <c r="W531" s="69">
        <v>0</v>
      </c>
    </row>
    <row r="532" spans="1:23" ht="20.25" customHeight="1" x14ac:dyDescent="0.2">
      <c r="A532" s="140"/>
      <c r="B532" s="144"/>
      <c r="C532" s="94" t="s">
        <v>12</v>
      </c>
      <c r="D532" s="83">
        <f t="shared" si="261"/>
        <v>17358.52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f>12319.1+2918+1.6</f>
        <v>15238.7</v>
      </c>
      <c r="K532" s="69">
        <v>2119.8200000000002</v>
      </c>
      <c r="L532" s="69">
        <v>0</v>
      </c>
      <c r="M532" s="69">
        <v>0</v>
      </c>
      <c r="N532" s="69">
        <v>0</v>
      </c>
      <c r="O532" s="69">
        <v>0</v>
      </c>
      <c r="W532" s="69">
        <v>0</v>
      </c>
    </row>
    <row r="533" spans="1:23" ht="30.75" customHeight="1" x14ac:dyDescent="0.2">
      <c r="A533" s="140"/>
      <c r="B533" s="144"/>
      <c r="C533" s="94" t="s">
        <v>13</v>
      </c>
      <c r="D533" s="83">
        <f t="shared" si="261"/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W533" s="69">
        <v>0</v>
      </c>
    </row>
    <row r="534" spans="1:23" ht="25.5" customHeight="1" x14ac:dyDescent="0.2">
      <c r="A534" s="134" t="s">
        <v>376</v>
      </c>
      <c r="B534" s="143" t="s">
        <v>421</v>
      </c>
      <c r="C534" s="84" t="s">
        <v>7</v>
      </c>
      <c r="D534" s="83">
        <f t="shared" si="261"/>
        <v>4584.7</v>
      </c>
      <c r="E534" s="69">
        <f>E535+E536+E537+E538</f>
        <v>0</v>
      </c>
      <c r="F534" s="69">
        <f t="shared" ref="F534:O534" si="272">F535+F536+F537+F538</f>
        <v>0</v>
      </c>
      <c r="G534" s="69">
        <f t="shared" si="272"/>
        <v>0</v>
      </c>
      <c r="H534" s="69">
        <f t="shared" si="272"/>
        <v>0</v>
      </c>
      <c r="I534" s="69">
        <f t="shared" si="272"/>
        <v>0</v>
      </c>
      <c r="J534" s="69">
        <f t="shared" si="272"/>
        <v>0</v>
      </c>
      <c r="K534" s="69">
        <f t="shared" si="272"/>
        <v>4584.7</v>
      </c>
      <c r="L534" s="69">
        <f t="shared" si="272"/>
        <v>0</v>
      </c>
      <c r="M534" s="69">
        <f t="shared" si="272"/>
        <v>0</v>
      </c>
      <c r="N534" s="69">
        <f t="shared" si="272"/>
        <v>0</v>
      </c>
      <c r="O534" s="69">
        <f t="shared" si="272"/>
        <v>0</v>
      </c>
      <c r="W534" s="69">
        <f t="shared" ref="W534" si="273">W535+W536+W537+W538</f>
        <v>0</v>
      </c>
    </row>
    <row r="535" spans="1:23" ht="25.5" customHeight="1" x14ac:dyDescent="0.2">
      <c r="A535" s="135"/>
      <c r="B535" s="144"/>
      <c r="C535" s="94" t="s">
        <v>10</v>
      </c>
      <c r="D535" s="83">
        <f t="shared" si="261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W535" s="69">
        <v>0</v>
      </c>
    </row>
    <row r="536" spans="1:23" ht="25.5" customHeight="1" x14ac:dyDescent="0.2">
      <c r="A536" s="135"/>
      <c r="B536" s="144"/>
      <c r="C536" s="94" t="s">
        <v>11</v>
      </c>
      <c r="D536" s="83">
        <f t="shared" si="261"/>
        <v>0</v>
      </c>
      <c r="E536" s="69">
        <v>0</v>
      </c>
      <c r="F536" s="69">
        <v>0</v>
      </c>
      <c r="G536" s="69">
        <v>0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  <c r="W536" s="69">
        <v>0</v>
      </c>
    </row>
    <row r="537" spans="1:23" ht="25.5" customHeight="1" x14ac:dyDescent="0.2">
      <c r="A537" s="135"/>
      <c r="B537" s="144"/>
      <c r="C537" s="94" t="s">
        <v>12</v>
      </c>
      <c r="D537" s="83">
        <f t="shared" si="261"/>
        <v>4584.7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f>4584.7</f>
        <v>4584.7</v>
      </c>
      <c r="L537" s="69">
        <v>0</v>
      </c>
      <c r="M537" s="69">
        <v>0</v>
      </c>
      <c r="N537" s="69">
        <v>0</v>
      </c>
      <c r="O537" s="69">
        <v>0</v>
      </c>
      <c r="W537" s="69">
        <v>0</v>
      </c>
    </row>
    <row r="538" spans="1:23" ht="25.5" customHeight="1" x14ac:dyDescent="0.2">
      <c r="A538" s="136"/>
      <c r="B538" s="144"/>
      <c r="C538" s="94" t="s">
        <v>13</v>
      </c>
      <c r="D538" s="83">
        <f t="shared" si="261"/>
        <v>0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0</v>
      </c>
      <c r="W538" s="69">
        <v>0</v>
      </c>
    </row>
    <row r="539" spans="1:23" ht="25.5" hidden="1" customHeight="1" x14ac:dyDescent="0.2">
      <c r="A539" s="134"/>
      <c r="B539" s="143" t="s">
        <v>399</v>
      </c>
      <c r="C539" s="84" t="s">
        <v>7</v>
      </c>
      <c r="D539" s="83">
        <f t="shared" si="261"/>
        <v>0</v>
      </c>
      <c r="E539" s="69">
        <f>E540+E541+E542+E543</f>
        <v>0</v>
      </c>
      <c r="F539" s="69">
        <f t="shared" ref="F539:O539" si="274">F540+F541+F542+F543</f>
        <v>0</v>
      </c>
      <c r="G539" s="69">
        <f t="shared" si="274"/>
        <v>0</v>
      </c>
      <c r="H539" s="69">
        <f t="shared" si="274"/>
        <v>0</v>
      </c>
      <c r="I539" s="69">
        <f t="shared" si="274"/>
        <v>0</v>
      </c>
      <c r="J539" s="69">
        <f t="shared" si="274"/>
        <v>0</v>
      </c>
      <c r="K539" s="69">
        <f t="shared" si="274"/>
        <v>0</v>
      </c>
      <c r="L539" s="69">
        <f t="shared" si="274"/>
        <v>0</v>
      </c>
      <c r="M539" s="69">
        <f t="shared" si="274"/>
        <v>0</v>
      </c>
      <c r="N539" s="69">
        <f t="shared" si="274"/>
        <v>0</v>
      </c>
      <c r="O539" s="69">
        <f t="shared" si="274"/>
        <v>0</v>
      </c>
      <c r="W539" s="69">
        <f t="shared" ref="W539" si="275">W540+W541+W542+W543</f>
        <v>0</v>
      </c>
    </row>
    <row r="540" spans="1:23" ht="25.5" hidden="1" customHeight="1" x14ac:dyDescent="0.2">
      <c r="A540" s="135"/>
      <c r="B540" s="144"/>
      <c r="C540" s="94" t="s">
        <v>10</v>
      </c>
      <c r="D540" s="83">
        <f t="shared" si="261"/>
        <v>0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v>0</v>
      </c>
      <c r="L540" s="69">
        <v>0</v>
      </c>
      <c r="M540" s="69">
        <v>0</v>
      </c>
      <c r="N540" s="69">
        <v>0</v>
      </c>
      <c r="O540" s="69">
        <v>0</v>
      </c>
      <c r="W540" s="69">
        <v>0</v>
      </c>
    </row>
    <row r="541" spans="1:23" ht="25.5" hidden="1" customHeight="1" x14ac:dyDescent="0.2">
      <c r="A541" s="135"/>
      <c r="B541" s="144"/>
      <c r="C541" s="94" t="s">
        <v>11</v>
      </c>
      <c r="D541" s="83">
        <f t="shared" si="261"/>
        <v>0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69">
        <v>0</v>
      </c>
      <c r="L541" s="69">
        <v>0</v>
      </c>
      <c r="M541" s="69">
        <v>0</v>
      </c>
      <c r="N541" s="69">
        <v>0</v>
      </c>
      <c r="O541" s="69">
        <v>0</v>
      </c>
      <c r="W541" s="69">
        <v>0</v>
      </c>
    </row>
    <row r="542" spans="1:23" ht="25.5" hidden="1" customHeight="1" x14ac:dyDescent="0.2">
      <c r="A542" s="135"/>
      <c r="B542" s="144"/>
      <c r="C542" s="94" t="s">
        <v>12</v>
      </c>
      <c r="D542" s="83">
        <f t="shared" si="261"/>
        <v>0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f>1800-1800</f>
        <v>0</v>
      </c>
      <c r="L542" s="69">
        <v>0</v>
      </c>
      <c r="M542" s="69">
        <v>0</v>
      </c>
      <c r="N542" s="69">
        <v>0</v>
      </c>
      <c r="O542" s="69">
        <v>0</v>
      </c>
      <c r="W542" s="69">
        <v>0</v>
      </c>
    </row>
    <row r="543" spans="1:23" ht="23.25" hidden="1" customHeight="1" x14ac:dyDescent="0.2">
      <c r="A543" s="136"/>
      <c r="B543" s="144"/>
      <c r="C543" s="94" t="s">
        <v>13</v>
      </c>
      <c r="D543" s="83">
        <f t="shared" si="261"/>
        <v>0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15.75" x14ac:dyDescent="0.2">
      <c r="A544" s="140" t="s">
        <v>317</v>
      </c>
      <c r="B544" s="143" t="s">
        <v>370</v>
      </c>
      <c r="C544" s="84" t="s">
        <v>7</v>
      </c>
      <c r="D544" s="83">
        <f>E544+F544+G544+H544+I544+J544+K544+L544+M544+N544+O544+W544</f>
        <v>71929.2</v>
      </c>
      <c r="E544" s="83">
        <f t="shared" ref="E544:O544" si="276">E545+E546+E548+E550</f>
        <v>0</v>
      </c>
      <c r="F544" s="83">
        <f t="shared" si="276"/>
        <v>0</v>
      </c>
      <c r="G544" s="83">
        <f t="shared" si="276"/>
        <v>0</v>
      </c>
      <c r="H544" s="83">
        <f t="shared" si="276"/>
        <v>0</v>
      </c>
      <c r="I544" s="83">
        <f t="shared" si="276"/>
        <v>0</v>
      </c>
      <c r="J544" s="83">
        <f t="shared" si="276"/>
        <v>0</v>
      </c>
      <c r="K544" s="83">
        <f t="shared" si="276"/>
        <v>25529.200000000001</v>
      </c>
      <c r="L544" s="83">
        <f t="shared" si="276"/>
        <v>23200</v>
      </c>
      <c r="M544" s="83">
        <f t="shared" si="276"/>
        <v>23200</v>
      </c>
      <c r="N544" s="83">
        <f t="shared" si="276"/>
        <v>0</v>
      </c>
      <c r="O544" s="83">
        <f t="shared" si="276"/>
        <v>0</v>
      </c>
      <c r="W544" s="83">
        <f t="shared" ref="W544" si="277">W545+W546+W548+W550</f>
        <v>0</v>
      </c>
    </row>
    <row r="545" spans="1:23" ht="15.75" x14ac:dyDescent="0.2">
      <c r="A545" s="140"/>
      <c r="B545" s="144"/>
      <c r="C545" s="94" t="s">
        <v>10</v>
      </c>
      <c r="D545" s="83">
        <f t="shared" ref="D545:D562" si="278">E545+F545+G545+H545+I545+J545+K545+L545+M545+N545+O545+W545</f>
        <v>0</v>
      </c>
      <c r="E545" s="83">
        <f>E552+E557</f>
        <v>0</v>
      </c>
      <c r="F545" s="83">
        <f t="shared" ref="F545:O545" si="279">F552+F557</f>
        <v>0</v>
      </c>
      <c r="G545" s="83">
        <f t="shared" si="279"/>
        <v>0</v>
      </c>
      <c r="H545" s="83">
        <f t="shared" si="279"/>
        <v>0</v>
      </c>
      <c r="I545" s="83">
        <f t="shared" si="279"/>
        <v>0</v>
      </c>
      <c r="J545" s="83">
        <f t="shared" si="279"/>
        <v>0</v>
      </c>
      <c r="K545" s="83">
        <f t="shared" si="279"/>
        <v>0</v>
      </c>
      <c r="L545" s="83">
        <f t="shared" si="279"/>
        <v>0</v>
      </c>
      <c r="M545" s="83">
        <f t="shared" si="279"/>
        <v>0</v>
      </c>
      <c r="N545" s="83">
        <f t="shared" si="279"/>
        <v>0</v>
      </c>
      <c r="O545" s="83">
        <f t="shared" si="279"/>
        <v>0</v>
      </c>
      <c r="W545" s="83">
        <f t="shared" ref="W545" si="280">W552+W557</f>
        <v>0</v>
      </c>
    </row>
    <row r="546" spans="1:23" ht="31.5" x14ac:dyDescent="0.2">
      <c r="A546" s="140"/>
      <c r="B546" s="144"/>
      <c r="C546" s="94" t="s">
        <v>69</v>
      </c>
      <c r="D546" s="83">
        <f t="shared" si="278"/>
        <v>67613.399999999994</v>
      </c>
      <c r="E546" s="83">
        <f>E553+E558</f>
        <v>0</v>
      </c>
      <c r="F546" s="83">
        <f t="shared" ref="F546:O546" si="281">F553+F558</f>
        <v>0</v>
      </c>
      <c r="G546" s="83">
        <f t="shared" si="281"/>
        <v>0</v>
      </c>
      <c r="H546" s="83">
        <f t="shared" si="281"/>
        <v>0</v>
      </c>
      <c r="I546" s="83">
        <f t="shared" si="281"/>
        <v>0</v>
      </c>
      <c r="J546" s="83">
        <f t="shared" si="281"/>
        <v>0</v>
      </c>
      <c r="K546" s="83">
        <f t="shared" si="281"/>
        <v>23997.4</v>
      </c>
      <c r="L546" s="83">
        <f t="shared" si="281"/>
        <v>21808</v>
      </c>
      <c r="M546" s="83">
        <f t="shared" si="281"/>
        <v>21808</v>
      </c>
      <c r="N546" s="83">
        <f t="shared" si="281"/>
        <v>0</v>
      </c>
      <c r="O546" s="83">
        <f t="shared" si="281"/>
        <v>0</v>
      </c>
      <c r="W546" s="83">
        <f t="shared" ref="W546" si="282">W553+W558</f>
        <v>0</v>
      </c>
    </row>
    <row r="547" spans="1:23" ht="39.75" customHeight="1" x14ac:dyDescent="0.2">
      <c r="A547" s="140"/>
      <c r="B547" s="144"/>
      <c r="C547" s="72" t="s">
        <v>81</v>
      </c>
      <c r="D547" s="83">
        <f t="shared" si="278"/>
        <v>43616</v>
      </c>
      <c r="E547" s="71">
        <v>0</v>
      </c>
      <c r="F547" s="71">
        <v>0</v>
      </c>
      <c r="G547" s="71">
        <v>0</v>
      </c>
      <c r="H547" s="71">
        <v>0</v>
      </c>
      <c r="I547" s="71">
        <v>0</v>
      </c>
      <c r="J547" s="71">
        <v>0</v>
      </c>
      <c r="K547" s="71">
        <v>0</v>
      </c>
      <c r="L547" s="71">
        <v>21808</v>
      </c>
      <c r="M547" s="71">
        <v>21808</v>
      </c>
      <c r="N547" s="71">
        <v>0</v>
      </c>
      <c r="O547" s="71">
        <v>0</v>
      </c>
      <c r="W547" s="71">
        <v>0</v>
      </c>
    </row>
    <row r="548" spans="1:23" ht="31.5" x14ac:dyDescent="0.2">
      <c r="A548" s="140"/>
      <c r="B548" s="144"/>
      <c r="C548" s="94" t="s">
        <v>65</v>
      </c>
      <c r="D548" s="83">
        <f t="shared" si="278"/>
        <v>4315.8</v>
      </c>
      <c r="E548" s="83">
        <f>E554+E560</f>
        <v>0</v>
      </c>
      <c r="F548" s="83">
        <f t="shared" ref="F548:O548" si="283">F554+F560</f>
        <v>0</v>
      </c>
      <c r="G548" s="83">
        <f t="shared" si="283"/>
        <v>0</v>
      </c>
      <c r="H548" s="83">
        <f t="shared" si="283"/>
        <v>0</v>
      </c>
      <c r="I548" s="83">
        <f t="shared" si="283"/>
        <v>0</v>
      </c>
      <c r="J548" s="83">
        <f t="shared" si="283"/>
        <v>0</v>
      </c>
      <c r="K548" s="83">
        <f t="shared" si="283"/>
        <v>1531.8</v>
      </c>
      <c r="L548" s="83">
        <f t="shared" si="283"/>
        <v>1392</v>
      </c>
      <c r="M548" s="83">
        <f t="shared" si="283"/>
        <v>1392</v>
      </c>
      <c r="N548" s="83">
        <f t="shared" si="283"/>
        <v>0</v>
      </c>
      <c r="O548" s="83">
        <f t="shared" si="283"/>
        <v>0</v>
      </c>
      <c r="W548" s="83">
        <f t="shared" ref="W548" si="284">W554+W560</f>
        <v>0</v>
      </c>
    </row>
    <row r="549" spans="1:23" ht="31.5" x14ac:dyDescent="0.2">
      <c r="A549" s="140"/>
      <c r="B549" s="144"/>
      <c r="C549" s="72" t="s">
        <v>448</v>
      </c>
      <c r="D549" s="83">
        <f t="shared" si="278"/>
        <v>2784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71">
        <v>0</v>
      </c>
      <c r="L549" s="71">
        <v>1392</v>
      </c>
      <c r="M549" s="71">
        <v>1392</v>
      </c>
      <c r="N549" s="71">
        <v>0</v>
      </c>
      <c r="O549" s="71">
        <v>0</v>
      </c>
      <c r="W549" s="71">
        <v>0</v>
      </c>
    </row>
    <row r="550" spans="1:23" ht="32.25" customHeight="1" x14ac:dyDescent="0.2">
      <c r="A550" s="140"/>
      <c r="B550" s="144"/>
      <c r="C550" s="94" t="s">
        <v>13</v>
      </c>
      <c r="D550" s="83">
        <f t="shared" si="278"/>
        <v>0</v>
      </c>
      <c r="E550" s="83">
        <f>E555+E562</f>
        <v>0</v>
      </c>
      <c r="F550" s="83">
        <f t="shared" ref="F550:O550" si="285">F555+F562</f>
        <v>0</v>
      </c>
      <c r="G550" s="83">
        <f t="shared" si="285"/>
        <v>0</v>
      </c>
      <c r="H550" s="83">
        <f t="shared" si="285"/>
        <v>0</v>
      </c>
      <c r="I550" s="83">
        <f t="shared" si="285"/>
        <v>0</v>
      </c>
      <c r="J550" s="83">
        <f t="shared" si="285"/>
        <v>0</v>
      </c>
      <c r="K550" s="83">
        <f t="shared" si="285"/>
        <v>0</v>
      </c>
      <c r="L550" s="83">
        <f t="shared" si="285"/>
        <v>0</v>
      </c>
      <c r="M550" s="83">
        <f t="shared" si="285"/>
        <v>0</v>
      </c>
      <c r="N550" s="83">
        <f t="shared" si="285"/>
        <v>0</v>
      </c>
      <c r="O550" s="83">
        <f t="shared" si="285"/>
        <v>0</v>
      </c>
      <c r="W550" s="83">
        <f t="shared" ref="W550" si="286">W555+W562</f>
        <v>0</v>
      </c>
    </row>
    <row r="551" spans="1:23" ht="15.75" hidden="1" x14ac:dyDescent="0.2">
      <c r="A551" s="140" t="s">
        <v>333</v>
      </c>
      <c r="B551" s="143" t="s">
        <v>318</v>
      </c>
      <c r="C551" s="84" t="s">
        <v>7</v>
      </c>
      <c r="D551" s="83">
        <f t="shared" si="278"/>
        <v>0</v>
      </c>
      <c r="E551" s="69">
        <f t="shared" ref="E551:J551" si="287">E552+E553+E554+E555</f>
        <v>0</v>
      </c>
      <c r="F551" s="69">
        <f t="shared" si="287"/>
        <v>0</v>
      </c>
      <c r="G551" s="69">
        <f t="shared" si="287"/>
        <v>0</v>
      </c>
      <c r="H551" s="69">
        <f t="shared" si="287"/>
        <v>0</v>
      </c>
      <c r="I551" s="69">
        <f t="shared" si="287"/>
        <v>0</v>
      </c>
      <c r="J551" s="69">
        <f t="shared" si="287"/>
        <v>0</v>
      </c>
      <c r="K551" s="69">
        <f>K552+K553+K554+K555</f>
        <v>0</v>
      </c>
      <c r="L551" s="69">
        <f>L552+L553+L554+L555</f>
        <v>0</v>
      </c>
      <c r="M551" s="69">
        <f>M552+M553+M554+M555</f>
        <v>0</v>
      </c>
      <c r="N551" s="69">
        <f>N552+N553+N554+N555</f>
        <v>0</v>
      </c>
      <c r="O551" s="69">
        <f>O552+O553+O554+O555</f>
        <v>0</v>
      </c>
      <c r="W551" s="69">
        <f>W552+W553+W554+W555</f>
        <v>0</v>
      </c>
    </row>
    <row r="552" spans="1:23" ht="15.75" hidden="1" x14ac:dyDescent="0.2">
      <c r="A552" s="140"/>
      <c r="B552" s="144"/>
      <c r="C552" s="94" t="s">
        <v>10</v>
      </c>
      <c r="D552" s="83">
        <f t="shared" si="278"/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W552" s="69">
        <v>0</v>
      </c>
    </row>
    <row r="553" spans="1:23" ht="15.75" hidden="1" x14ac:dyDescent="0.2">
      <c r="A553" s="140"/>
      <c r="B553" s="144"/>
      <c r="C553" s="94" t="s">
        <v>11</v>
      </c>
      <c r="D553" s="83">
        <f t="shared" si="278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hidden="1" x14ac:dyDescent="0.2">
      <c r="A554" s="140"/>
      <c r="B554" s="144"/>
      <c r="C554" s="94" t="s">
        <v>12</v>
      </c>
      <c r="D554" s="83">
        <f t="shared" si="278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f>98.2-11-2.5-57.4-27.3</f>
        <v>0</v>
      </c>
      <c r="M554" s="69">
        <f>416.2-416.2</f>
        <v>0</v>
      </c>
      <c r="N554" s="69">
        <v>0</v>
      </c>
      <c r="O554" s="69">
        <v>0</v>
      </c>
      <c r="W554" s="69">
        <v>0</v>
      </c>
    </row>
    <row r="555" spans="1:23" ht="17.25" hidden="1" customHeight="1" x14ac:dyDescent="0.2">
      <c r="A555" s="140"/>
      <c r="B555" s="144"/>
      <c r="C555" s="94" t="s">
        <v>13</v>
      </c>
      <c r="D555" s="83">
        <f t="shared" si="278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17.25" customHeight="1" x14ac:dyDescent="0.2">
      <c r="A556" s="134" t="s">
        <v>333</v>
      </c>
      <c r="B556" s="134" t="s">
        <v>375</v>
      </c>
      <c r="C556" s="84" t="s">
        <v>7</v>
      </c>
      <c r="D556" s="83">
        <f t="shared" si="278"/>
        <v>71929.2</v>
      </c>
      <c r="E556" s="69">
        <f t="shared" ref="E556:O556" si="288">E557+E558+E560+E562</f>
        <v>0</v>
      </c>
      <c r="F556" s="69">
        <f t="shared" si="288"/>
        <v>0</v>
      </c>
      <c r="G556" s="69">
        <f t="shared" si="288"/>
        <v>0</v>
      </c>
      <c r="H556" s="69">
        <f t="shared" si="288"/>
        <v>0</v>
      </c>
      <c r="I556" s="69">
        <f t="shared" si="288"/>
        <v>0</v>
      </c>
      <c r="J556" s="69">
        <f t="shared" si="288"/>
        <v>0</v>
      </c>
      <c r="K556" s="69">
        <f t="shared" si="288"/>
        <v>25529.200000000001</v>
      </c>
      <c r="L556" s="69">
        <f t="shared" si="288"/>
        <v>23200</v>
      </c>
      <c r="M556" s="69">
        <f t="shared" si="288"/>
        <v>23200</v>
      </c>
      <c r="N556" s="69">
        <f t="shared" si="288"/>
        <v>0</v>
      </c>
      <c r="O556" s="69">
        <f t="shared" si="288"/>
        <v>0</v>
      </c>
      <c r="W556" s="69">
        <f t="shared" ref="W556" si="289">W557+W558+W560+W562</f>
        <v>0</v>
      </c>
    </row>
    <row r="557" spans="1:23" ht="17.25" customHeight="1" x14ac:dyDescent="0.2">
      <c r="A557" s="135"/>
      <c r="B557" s="135"/>
      <c r="C557" s="94" t="s">
        <v>10</v>
      </c>
      <c r="D557" s="83">
        <f t="shared" si="278"/>
        <v>0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W557" s="69">
        <v>0</v>
      </c>
    </row>
    <row r="558" spans="1:23" ht="33.75" customHeight="1" x14ac:dyDescent="0.2">
      <c r="A558" s="135"/>
      <c r="B558" s="135"/>
      <c r="C558" s="94" t="s">
        <v>69</v>
      </c>
      <c r="D558" s="83">
        <f t="shared" si="278"/>
        <v>67613.399999999994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23997.4</v>
      </c>
      <c r="L558" s="69">
        <v>21808</v>
      </c>
      <c r="M558" s="69">
        <v>21808</v>
      </c>
      <c r="N558" s="69">
        <v>0</v>
      </c>
      <c r="O558" s="69">
        <v>0</v>
      </c>
      <c r="W558" s="69">
        <v>0</v>
      </c>
    </row>
    <row r="559" spans="1:23" ht="33.75" customHeight="1" x14ac:dyDescent="0.2">
      <c r="A559" s="135"/>
      <c r="B559" s="135"/>
      <c r="C559" s="72" t="s">
        <v>81</v>
      </c>
      <c r="D559" s="83">
        <f t="shared" si="278"/>
        <v>43616</v>
      </c>
      <c r="E559" s="71">
        <v>0</v>
      </c>
      <c r="F559" s="71">
        <v>0</v>
      </c>
      <c r="G559" s="71">
        <v>0</v>
      </c>
      <c r="H559" s="71">
        <v>0</v>
      </c>
      <c r="I559" s="71">
        <v>0</v>
      </c>
      <c r="J559" s="71">
        <v>0</v>
      </c>
      <c r="K559" s="71">
        <v>0</v>
      </c>
      <c r="L559" s="71">
        <v>21808</v>
      </c>
      <c r="M559" s="71">
        <v>21808</v>
      </c>
      <c r="N559" s="71">
        <v>0</v>
      </c>
      <c r="O559" s="71">
        <v>0</v>
      </c>
      <c r="W559" s="71">
        <v>0</v>
      </c>
    </row>
    <row r="560" spans="1:23" ht="30.75" customHeight="1" x14ac:dyDescent="0.2">
      <c r="A560" s="135"/>
      <c r="B560" s="135"/>
      <c r="C560" s="94" t="s">
        <v>65</v>
      </c>
      <c r="D560" s="83">
        <f t="shared" si="278"/>
        <v>4315.8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f>1531.8</f>
        <v>1531.8</v>
      </c>
      <c r="L560" s="69">
        <v>1392</v>
      </c>
      <c r="M560" s="69">
        <v>1392</v>
      </c>
      <c r="N560" s="69">
        <v>0</v>
      </c>
      <c r="O560" s="69">
        <v>0</v>
      </c>
      <c r="W560" s="69">
        <v>0</v>
      </c>
    </row>
    <row r="561" spans="1:23" s="85" customFormat="1" ht="36" customHeight="1" x14ac:dyDescent="0.2">
      <c r="A561" s="135"/>
      <c r="B561" s="135"/>
      <c r="C561" s="72" t="s">
        <v>448</v>
      </c>
      <c r="D561" s="83">
        <f t="shared" si="278"/>
        <v>2784</v>
      </c>
      <c r="E561" s="69">
        <v>0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71">
        <v>0</v>
      </c>
      <c r="L561" s="71">
        <v>1392</v>
      </c>
      <c r="M561" s="71">
        <v>1392</v>
      </c>
      <c r="N561" s="71">
        <v>0</v>
      </c>
      <c r="O561" s="71">
        <v>0</v>
      </c>
      <c r="W561" s="71">
        <v>0</v>
      </c>
    </row>
    <row r="562" spans="1:23" ht="30" customHeight="1" x14ac:dyDescent="0.2">
      <c r="A562" s="136"/>
      <c r="B562" s="136"/>
      <c r="C562" s="94" t="s">
        <v>13</v>
      </c>
      <c r="D562" s="83">
        <f t="shared" si="278"/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W562" s="69">
        <v>0</v>
      </c>
    </row>
    <row r="563" spans="1:23" ht="15.75" customHeight="1" x14ac:dyDescent="0.2">
      <c r="A563" s="150" t="s">
        <v>33</v>
      </c>
      <c r="B563" s="146" t="s">
        <v>46</v>
      </c>
      <c r="C563" s="99" t="s">
        <v>7</v>
      </c>
      <c r="D563" s="66">
        <f>E563+F563+G563+H563+I563+J563+K563+L563+M563+N563+O563+W563</f>
        <v>33518.199999999997</v>
      </c>
      <c r="E563" s="66">
        <f>E564+E565+E566+E567</f>
        <v>20400</v>
      </c>
      <c r="F563" s="66">
        <f t="shared" ref="F563:O563" si="290">F564+F565+F566+F567</f>
        <v>3430</v>
      </c>
      <c r="G563" s="66">
        <f t="shared" si="290"/>
        <v>2049.1999999999998</v>
      </c>
      <c r="H563" s="66">
        <f t="shared" si="290"/>
        <v>3688.6</v>
      </c>
      <c r="I563" s="66">
        <f t="shared" si="290"/>
        <v>2475</v>
      </c>
      <c r="J563" s="66">
        <f>J564+J565+J566+J567</f>
        <v>227.4</v>
      </c>
      <c r="K563" s="66">
        <f t="shared" si="290"/>
        <v>251</v>
      </c>
      <c r="L563" s="66">
        <f t="shared" si="290"/>
        <v>278.5</v>
      </c>
      <c r="M563" s="66">
        <f>M564+M565+M566+M567</f>
        <v>312</v>
      </c>
      <c r="N563" s="66">
        <f t="shared" si="290"/>
        <v>129.4</v>
      </c>
      <c r="O563" s="66">
        <f t="shared" si="290"/>
        <v>170.6</v>
      </c>
      <c r="P563" s="60"/>
      <c r="Q563" s="60"/>
      <c r="W563" s="66">
        <f t="shared" ref="W563" si="291">W564+W565+W566+W567</f>
        <v>106.5</v>
      </c>
    </row>
    <row r="564" spans="1:23" ht="15.75" customHeight="1" x14ac:dyDescent="0.2">
      <c r="A564" s="150"/>
      <c r="B564" s="143"/>
      <c r="C564" s="99" t="s">
        <v>10</v>
      </c>
      <c r="D564" s="69">
        <f>E564+F564+G564+H564+I564+J564+K564+L564+M564+N564+O564+W564</f>
        <v>0</v>
      </c>
      <c r="E564" s="69">
        <f>E569</f>
        <v>0</v>
      </c>
      <c r="F564" s="69">
        <f t="shared" ref="F564:O564" si="292">F569</f>
        <v>0</v>
      </c>
      <c r="G564" s="69">
        <f t="shared" si="292"/>
        <v>0</v>
      </c>
      <c r="H564" s="69">
        <f t="shared" si="292"/>
        <v>0</v>
      </c>
      <c r="I564" s="69">
        <f t="shared" si="292"/>
        <v>0</v>
      </c>
      <c r="J564" s="69">
        <f t="shared" si="292"/>
        <v>0</v>
      </c>
      <c r="K564" s="69">
        <f t="shared" si="292"/>
        <v>0</v>
      </c>
      <c r="L564" s="69">
        <f t="shared" si="292"/>
        <v>0</v>
      </c>
      <c r="M564" s="69">
        <f t="shared" si="292"/>
        <v>0</v>
      </c>
      <c r="N564" s="69">
        <f t="shared" si="292"/>
        <v>0</v>
      </c>
      <c r="O564" s="69">
        <f t="shared" si="292"/>
        <v>0</v>
      </c>
      <c r="W564" s="69">
        <f t="shared" ref="W564" si="293">W569</f>
        <v>0</v>
      </c>
    </row>
    <row r="565" spans="1:23" ht="15.75" customHeight="1" x14ac:dyDescent="0.2">
      <c r="A565" s="150"/>
      <c r="B565" s="143"/>
      <c r="C565" s="99" t="s">
        <v>11</v>
      </c>
      <c r="D565" s="69">
        <f t="shared" ref="D565:D587" si="294">E565+F565+G565+H565+I565+J565+K565+L565+M565+N565+O565+W565</f>
        <v>0</v>
      </c>
      <c r="E565" s="69">
        <f>E570</f>
        <v>0</v>
      </c>
      <c r="F565" s="69">
        <f t="shared" ref="F565:O565" si="295">F579</f>
        <v>0</v>
      </c>
      <c r="G565" s="69">
        <f t="shared" si="295"/>
        <v>0</v>
      </c>
      <c r="H565" s="69">
        <f t="shared" si="295"/>
        <v>0</v>
      </c>
      <c r="I565" s="69">
        <f t="shared" si="295"/>
        <v>0</v>
      </c>
      <c r="J565" s="69">
        <f t="shared" si="295"/>
        <v>0</v>
      </c>
      <c r="K565" s="69">
        <f t="shared" si="295"/>
        <v>0</v>
      </c>
      <c r="L565" s="69">
        <f t="shared" si="295"/>
        <v>0</v>
      </c>
      <c r="M565" s="69">
        <f t="shared" si="295"/>
        <v>0</v>
      </c>
      <c r="N565" s="69">
        <f t="shared" si="295"/>
        <v>0</v>
      </c>
      <c r="O565" s="69">
        <f t="shared" si="295"/>
        <v>0</v>
      </c>
      <c r="W565" s="69">
        <f t="shared" ref="W565" si="296">W579</f>
        <v>0</v>
      </c>
    </row>
    <row r="566" spans="1:23" ht="15.75" customHeight="1" x14ac:dyDescent="0.2">
      <c r="A566" s="150"/>
      <c r="B566" s="143"/>
      <c r="C566" s="99" t="s">
        <v>12</v>
      </c>
      <c r="D566" s="69">
        <f t="shared" si="294"/>
        <v>3253.2000000000003</v>
      </c>
      <c r="E566" s="69">
        <f>E571</f>
        <v>400</v>
      </c>
      <c r="F566" s="69">
        <f>F571</f>
        <v>430</v>
      </c>
      <c r="G566" s="69">
        <f t="shared" ref="G566:O566" si="297">G571</f>
        <v>449.2</v>
      </c>
      <c r="H566" s="69">
        <f t="shared" si="297"/>
        <v>235</v>
      </c>
      <c r="I566" s="69">
        <f t="shared" si="297"/>
        <v>263.60000000000002</v>
      </c>
      <c r="J566" s="69">
        <f t="shared" si="297"/>
        <v>227.4</v>
      </c>
      <c r="K566" s="69">
        <f t="shared" si="297"/>
        <v>251</v>
      </c>
      <c r="L566" s="69">
        <f t="shared" si="297"/>
        <v>278.5</v>
      </c>
      <c r="M566" s="69">
        <f t="shared" si="297"/>
        <v>312</v>
      </c>
      <c r="N566" s="69">
        <f t="shared" si="297"/>
        <v>129.4</v>
      </c>
      <c r="O566" s="69">
        <f t="shared" si="297"/>
        <v>170.6</v>
      </c>
      <c r="W566" s="69">
        <f t="shared" ref="W566" si="298">W571</f>
        <v>106.5</v>
      </c>
    </row>
    <row r="567" spans="1:23" ht="15.75" x14ac:dyDescent="0.2">
      <c r="A567" s="150"/>
      <c r="B567" s="143"/>
      <c r="C567" s="99" t="s">
        <v>13</v>
      </c>
      <c r="D567" s="69">
        <f t="shared" si="294"/>
        <v>30265</v>
      </c>
      <c r="E567" s="69">
        <f>E572</f>
        <v>20000</v>
      </c>
      <c r="F567" s="69">
        <f t="shared" ref="F567:O567" si="299">F572</f>
        <v>3000</v>
      </c>
      <c r="G567" s="69">
        <f t="shared" si="299"/>
        <v>1600</v>
      </c>
      <c r="H567" s="69">
        <f t="shared" si="299"/>
        <v>3453.6</v>
      </c>
      <c r="I567" s="69">
        <f t="shared" si="299"/>
        <v>2211.4</v>
      </c>
      <c r="J567" s="69">
        <f t="shared" si="299"/>
        <v>0</v>
      </c>
      <c r="K567" s="69">
        <f t="shared" si="299"/>
        <v>0</v>
      </c>
      <c r="L567" s="69">
        <f t="shared" si="299"/>
        <v>0</v>
      </c>
      <c r="M567" s="69">
        <f t="shared" si="299"/>
        <v>0</v>
      </c>
      <c r="N567" s="69">
        <f t="shared" si="299"/>
        <v>0</v>
      </c>
      <c r="O567" s="69">
        <f t="shared" si="299"/>
        <v>0</v>
      </c>
      <c r="W567" s="69">
        <f t="shared" ref="W567" si="300">W572</f>
        <v>0</v>
      </c>
    </row>
    <row r="568" spans="1:23" ht="19.5" customHeight="1" x14ac:dyDescent="0.2">
      <c r="A568" s="140" t="s">
        <v>132</v>
      </c>
      <c r="B568" s="143" t="s">
        <v>119</v>
      </c>
      <c r="C568" s="99" t="s">
        <v>7</v>
      </c>
      <c r="D568" s="69">
        <f t="shared" si="294"/>
        <v>33518.199999999997</v>
      </c>
      <c r="E568" s="69">
        <f t="shared" ref="E568:O568" si="301">E569+E570+E571+E572</f>
        <v>20400</v>
      </c>
      <c r="F568" s="69">
        <f t="shared" si="301"/>
        <v>3430</v>
      </c>
      <c r="G568" s="69">
        <f t="shared" si="301"/>
        <v>2049.1999999999998</v>
      </c>
      <c r="H568" s="69">
        <f t="shared" si="301"/>
        <v>3688.6</v>
      </c>
      <c r="I568" s="69">
        <f t="shared" si="301"/>
        <v>2475</v>
      </c>
      <c r="J568" s="69">
        <f t="shared" si="301"/>
        <v>227.4</v>
      </c>
      <c r="K568" s="69">
        <f t="shared" si="301"/>
        <v>251</v>
      </c>
      <c r="L568" s="69">
        <f t="shared" si="301"/>
        <v>278.5</v>
      </c>
      <c r="M568" s="69">
        <f t="shared" si="301"/>
        <v>312</v>
      </c>
      <c r="N568" s="69">
        <f t="shared" si="301"/>
        <v>129.4</v>
      </c>
      <c r="O568" s="69">
        <f t="shared" si="301"/>
        <v>170.6</v>
      </c>
      <c r="W568" s="69">
        <f t="shared" ref="W568" si="302">W569+W570+W571+W572</f>
        <v>106.5</v>
      </c>
    </row>
    <row r="569" spans="1:23" ht="23.25" customHeight="1" x14ac:dyDescent="0.2">
      <c r="A569" s="140"/>
      <c r="B569" s="143"/>
      <c r="C569" s="99" t="s">
        <v>10</v>
      </c>
      <c r="D569" s="69">
        <f t="shared" si="294"/>
        <v>0</v>
      </c>
      <c r="E569" s="69">
        <f t="shared" ref="E569:O569" si="303">E574+E579+E584</f>
        <v>0</v>
      </c>
      <c r="F569" s="69">
        <f t="shared" si="303"/>
        <v>0</v>
      </c>
      <c r="G569" s="69">
        <f t="shared" si="303"/>
        <v>0</v>
      </c>
      <c r="H569" s="69">
        <f t="shared" si="303"/>
        <v>0</v>
      </c>
      <c r="I569" s="69">
        <f t="shared" si="303"/>
        <v>0</v>
      </c>
      <c r="J569" s="69">
        <f t="shared" si="303"/>
        <v>0</v>
      </c>
      <c r="K569" s="69">
        <f t="shared" si="303"/>
        <v>0</v>
      </c>
      <c r="L569" s="69">
        <f t="shared" si="303"/>
        <v>0</v>
      </c>
      <c r="M569" s="69">
        <f t="shared" si="303"/>
        <v>0</v>
      </c>
      <c r="N569" s="69">
        <f t="shared" si="303"/>
        <v>0</v>
      </c>
      <c r="O569" s="69">
        <f t="shared" si="303"/>
        <v>0</v>
      </c>
      <c r="W569" s="69">
        <f t="shared" ref="W569" si="304">W574+W579+W584</f>
        <v>0</v>
      </c>
    </row>
    <row r="570" spans="1:23" ht="23.25" customHeight="1" x14ac:dyDescent="0.2">
      <c r="A570" s="140"/>
      <c r="B570" s="143"/>
      <c r="C570" s="99" t="s">
        <v>11</v>
      </c>
      <c r="D570" s="69">
        <f t="shared" si="294"/>
        <v>0</v>
      </c>
      <c r="E570" s="69">
        <f t="shared" ref="E570:O570" si="305">E575+E580+E585</f>
        <v>0</v>
      </c>
      <c r="F570" s="69">
        <f t="shared" si="305"/>
        <v>0</v>
      </c>
      <c r="G570" s="69">
        <f t="shared" si="305"/>
        <v>0</v>
      </c>
      <c r="H570" s="69">
        <f t="shared" si="305"/>
        <v>0</v>
      </c>
      <c r="I570" s="69">
        <f t="shared" si="305"/>
        <v>0</v>
      </c>
      <c r="J570" s="69">
        <f t="shared" si="305"/>
        <v>0</v>
      </c>
      <c r="K570" s="69">
        <f t="shared" si="305"/>
        <v>0</v>
      </c>
      <c r="L570" s="69">
        <f t="shared" si="305"/>
        <v>0</v>
      </c>
      <c r="M570" s="69">
        <f t="shared" si="305"/>
        <v>0</v>
      </c>
      <c r="N570" s="69">
        <f t="shared" si="305"/>
        <v>0</v>
      </c>
      <c r="O570" s="69">
        <f t="shared" si="305"/>
        <v>0</v>
      </c>
      <c r="W570" s="69">
        <f t="shared" ref="W570" si="306">W575+W580+W585</f>
        <v>0</v>
      </c>
    </row>
    <row r="571" spans="1:23" ht="23.25" customHeight="1" x14ac:dyDescent="0.2">
      <c r="A571" s="140"/>
      <c r="B571" s="143"/>
      <c r="C571" s="99" t="s">
        <v>12</v>
      </c>
      <c r="D571" s="69">
        <f t="shared" si="294"/>
        <v>3253.2000000000003</v>
      </c>
      <c r="E571" s="69">
        <f t="shared" ref="E571:O571" si="307">E576+E581+E586</f>
        <v>400</v>
      </c>
      <c r="F571" s="69">
        <f t="shared" si="307"/>
        <v>430</v>
      </c>
      <c r="G571" s="69">
        <f t="shared" si="307"/>
        <v>449.2</v>
      </c>
      <c r="H571" s="69">
        <f t="shared" si="307"/>
        <v>235</v>
      </c>
      <c r="I571" s="69">
        <f>I576+I581+I586</f>
        <v>263.60000000000002</v>
      </c>
      <c r="J571" s="69">
        <f t="shared" si="307"/>
        <v>227.4</v>
      </c>
      <c r="K571" s="69">
        <f t="shared" si="307"/>
        <v>251</v>
      </c>
      <c r="L571" s="69">
        <f t="shared" si="307"/>
        <v>278.5</v>
      </c>
      <c r="M571" s="69">
        <f t="shared" si="307"/>
        <v>312</v>
      </c>
      <c r="N571" s="69">
        <f t="shared" si="307"/>
        <v>129.4</v>
      </c>
      <c r="O571" s="69">
        <f t="shared" si="307"/>
        <v>170.6</v>
      </c>
      <c r="W571" s="69">
        <f t="shared" ref="W571" si="308">W576+W581+W586</f>
        <v>106.5</v>
      </c>
    </row>
    <row r="572" spans="1:23" ht="23.25" customHeight="1" x14ac:dyDescent="0.2">
      <c r="A572" s="140"/>
      <c r="B572" s="143"/>
      <c r="C572" s="99" t="s">
        <v>13</v>
      </c>
      <c r="D572" s="69">
        <f t="shared" si="294"/>
        <v>30265</v>
      </c>
      <c r="E572" s="69">
        <f t="shared" ref="E572:O572" si="309">E577+E582+E587</f>
        <v>20000</v>
      </c>
      <c r="F572" s="69">
        <f t="shared" si="309"/>
        <v>3000</v>
      </c>
      <c r="G572" s="69">
        <f t="shared" si="309"/>
        <v>1600</v>
      </c>
      <c r="H572" s="69">
        <f t="shared" si="309"/>
        <v>3453.6</v>
      </c>
      <c r="I572" s="69">
        <f t="shared" si="309"/>
        <v>2211.4</v>
      </c>
      <c r="J572" s="69">
        <f t="shared" si="309"/>
        <v>0</v>
      </c>
      <c r="K572" s="69">
        <f t="shared" si="309"/>
        <v>0</v>
      </c>
      <c r="L572" s="69">
        <f t="shared" si="309"/>
        <v>0</v>
      </c>
      <c r="M572" s="69">
        <f t="shared" si="309"/>
        <v>0</v>
      </c>
      <c r="N572" s="69">
        <f t="shared" si="309"/>
        <v>0</v>
      </c>
      <c r="O572" s="69">
        <f t="shared" si="309"/>
        <v>0</v>
      </c>
      <c r="W572" s="69">
        <f t="shared" ref="W572" si="310">W577+W582+W587</f>
        <v>0</v>
      </c>
    </row>
    <row r="573" spans="1:23" ht="15.75" x14ac:dyDescent="0.2">
      <c r="A573" s="140" t="s">
        <v>120</v>
      </c>
      <c r="B573" s="143" t="s">
        <v>85</v>
      </c>
      <c r="C573" s="94" t="s">
        <v>7</v>
      </c>
      <c r="D573" s="69">
        <f t="shared" si="294"/>
        <v>3933.4</v>
      </c>
      <c r="E573" s="69">
        <f t="shared" ref="E573:J573" si="311">E574+E575+E576+E577</f>
        <v>0</v>
      </c>
      <c r="F573" s="69">
        <f t="shared" si="311"/>
        <v>0</v>
      </c>
      <c r="G573" s="69">
        <f t="shared" si="311"/>
        <v>0</v>
      </c>
      <c r="H573" s="69">
        <f t="shared" si="311"/>
        <v>2662</v>
      </c>
      <c r="I573" s="69">
        <f t="shared" si="311"/>
        <v>1271.4000000000001</v>
      </c>
      <c r="J573" s="69">
        <f t="shared" si="311"/>
        <v>0</v>
      </c>
      <c r="K573" s="69">
        <f>K574+K575+K576+K577</f>
        <v>0</v>
      </c>
      <c r="L573" s="69">
        <f>L574+L575+L576+L577</f>
        <v>0</v>
      </c>
      <c r="M573" s="69">
        <f>M574+M575+M576+M577</f>
        <v>0</v>
      </c>
      <c r="N573" s="69">
        <f>N574+N575+N576+N577</f>
        <v>0</v>
      </c>
      <c r="O573" s="69">
        <f>O574+O575+O576+O577</f>
        <v>0</v>
      </c>
      <c r="W573" s="69">
        <f>W574+W575+W576+W577</f>
        <v>0</v>
      </c>
    </row>
    <row r="574" spans="1:23" ht="15.75" customHeight="1" x14ac:dyDescent="0.2">
      <c r="A574" s="140"/>
      <c r="B574" s="143"/>
      <c r="C574" s="94" t="s">
        <v>10</v>
      </c>
      <c r="D574" s="69">
        <f t="shared" si="294"/>
        <v>0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  <c r="W574" s="69">
        <v>0</v>
      </c>
    </row>
    <row r="575" spans="1:23" ht="15.75" customHeight="1" x14ac:dyDescent="0.2">
      <c r="A575" s="140"/>
      <c r="B575" s="143"/>
      <c r="C575" s="94" t="s">
        <v>11</v>
      </c>
      <c r="D575" s="69">
        <f t="shared" si="294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5.75" customHeight="1" x14ac:dyDescent="0.2">
      <c r="A576" s="140"/>
      <c r="B576" s="143"/>
      <c r="C576" s="94" t="s">
        <v>12</v>
      </c>
      <c r="D576" s="69">
        <f t="shared" si="294"/>
        <v>0</v>
      </c>
      <c r="E576" s="69">
        <v>0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0</v>
      </c>
      <c r="N576" s="69">
        <v>0</v>
      </c>
      <c r="O576" s="69">
        <v>0</v>
      </c>
      <c r="W576" s="69">
        <v>0</v>
      </c>
    </row>
    <row r="577" spans="1:23" ht="15.75" x14ac:dyDescent="0.2">
      <c r="A577" s="140"/>
      <c r="B577" s="143"/>
      <c r="C577" s="94" t="s">
        <v>13</v>
      </c>
      <c r="D577" s="69">
        <f t="shared" si="294"/>
        <v>3933.4</v>
      </c>
      <c r="E577" s="69">
        <v>0</v>
      </c>
      <c r="F577" s="69">
        <v>0</v>
      </c>
      <c r="G577" s="69">
        <v>0</v>
      </c>
      <c r="H577" s="69">
        <v>2662</v>
      </c>
      <c r="I577" s="69">
        <f>837+48.7+385.7</f>
        <v>1271.4000000000001</v>
      </c>
      <c r="J577" s="69">
        <v>0</v>
      </c>
      <c r="K577" s="69">
        <v>0</v>
      </c>
      <c r="L577" s="69">
        <v>0</v>
      </c>
      <c r="M577" s="69">
        <v>0</v>
      </c>
      <c r="N577" s="69">
        <v>0</v>
      </c>
      <c r="O577" s="69">
        <v>0</v>
      </c>
      <c r="W577" s="69">
        <v>0</v>
      </c>
    </row>
    <row r="578" spans="1:23" ht="15.75" x14ac:dyDescent="0.2">
      <c r="A578" s="140" t="s">
        <v>121</v>
      </c>
      <c r="B578" s="143" t="s">
        <v>32</v>
      </c>
      <c r="C578" s="94" t="s">
        <v>7</v>
      </c>
      <c r="D578" s="69">
        <f t="shared" si="294"/>
        <v>3253.2000000000003</v>
      </c>
      <c r="E578" s="69">
        <f t="shared" ref="E578:J578" si="312">E579+E580+E581+E582</f>
        <v>400</v>
      </c>
      <c r="F578" s="69">
        <f t="shared" si="312"/>
        <v>430</v>
      </c>
      <c r="G578" s="69">
        <f t="shared" si="312"/>
        <v>449.2</v>
      </c>
      <c r="H578" s="69">
        <f t="shared" si="312"/>
        <v>235</v>
      </c>
      <c r="I578" s="69">
        <f t="shared" si="312"/>
        <v>263.60000000000002</v>
      </c>
      <c r="J578" s="69">
        <f t="shared" si="312"/>
        <v>227.4</v>
      </c>
      <c r="K578" s="69">
        <f>K579+K580+K581+K582</f>
        <v>251</v>
      </c>
      <c r="L578" s="69">
        <f>L579+L580+L581+L582</f>
        <v>278.5</v>
      </c>
      <c r="M578" s="69">
        <f>M579+M580+M581+M582</f>
        <v>312</v>
      </c>
      <c r="N578" s="69">
        <f>N579+N580+N581+N582</f>
        <v>129.4</v>
      </c>
      <c r="O578" s="69">
        <f>O579+O580+O581+O582</f>
        <v>170.6</v>
      </c>
      <c r="W578" s="69">
        <f>W579+W580+W581+W582</f>
        <v>106.5</v>
      </c>
    </row>
    <row r="579" spans="1:23" ht="15.75" x14ac:dyDescent="0.2">
      <c r="A579" s="140"/>
      <c r="B579" s="143"/>
      <c r="C579" s="99" t="s">
        <v>10</v>
      </c>
      <c r="D579" s="69">
        <f t="shared" si="294"/>
        <v>0</v>
      </c>
      <c r="E579" s="69">
        <v>0</v>
      </c>
      <c r="F579" s="69">
        <v>0</v>
      </c>
      <c r="G579" s="69">
        <v>0</v>
      </c>
      <c r="H579" s="69">
        <v>0</v>
      </c>
      <c r="I579" s="69">
        <v>0</v>
      </c>
      <c r="J579" s="69">
        <v>0</v>
      </c>
      <c r="K579" s="69">
        <v>0</v>
      </c>
      <c r="L579" s="69">
        <v>0</v>
      </c>
      <c r="M579" s="69">
        <v>0</v>
      </c>
      <c r="N579" s="69">
        <v>0</v>
      </c>
      <c r="O579" s="69">
        <v>0</v>
      </c>
      <c r="W579" s="69">
        <v>0</v>
      </c>
    </row>
    <row r="580" spans="1:23" ht="15.75" x14ac:dyDescent="0.2">
      <c r="A580" s="140"/>
      <c r="B580" s="143"/>
      <c r="C580" s="99" t="s">
        <v>11</v>
      </c>
      <c r="D580" s="69">
        <f t="shared" si="294"/>
        <v>0</v>
      </c>
      <c r="E580" s="69">
        <v>0</v>
      </c>
      <c r="F580" s="69">
        <v>0</v>
      </c>
      <c r="G580" s="69">
        <v>0</v>
      </c>
      <c r="H580" s="69">
        <v>0</v>
      </c>
      <c r="I580" s="69">
        <v>0</v>
      </c>
      <c r="J580" s="69">
        <v>0</v>
      </c>
      <c r="K580" s="69">
        <v>0</v>
      </c>
      <c r="L580" s="69">
        <v>0</v>
      </c>
      <c r="M580" s="69">
        <v>0</v>
      </c>
      <c r="N580" s="69">
        <v>0</v>
      </c>
      <c r="O580" s="69">
        <v>0</v>
      </c>
      <c r="W580" s="69">
        <v>0</v>
      </c>
    </row>
    <row r="581" spans="1:23" ht="15.75" x14ac:dyDescent="0.2">
      <c r="A581" s="140"/>
      <c r="B581" s="143"/>
      <c r="C581" s="99" t="s">
        <v>12</v>
      </c>
      <c r="D581" s="69">
        <f t="shared" si="294"/>
        <v>3253.2000000000003</v>
      </c>
      <c r="E581" s="69">
        <v>400</v>
      </c>
      <c r="F581" s="69">
        <v>430</v>
      </c>
      <c r="G581" s="69">
        <v>449.2</v>
      </c>
      <c r="H581" s="69">
        <v>235</v>
      </c>
      <c r="I581" s="69">
        <f>251.9+11.7</f>
        <v>263.60000000000002</v>
      </c>
      <c r="J581" s="83">
        <f>278.5-51.1</f>
        <v>227.4</v>
      </c>
      <c r="K581" s="83">
        <f>278.5-27.5</f>
        <v>251</v>
      </c>
      <c r="L581" s="83">
        <f>157.5+121</f>
        <v>278.5</v>
      </c>
      <c r="M581" s="83">
        <f>167-9.4+154.4</f>
        <v>312</v>
      </c>
      <c r="N581" s="69">
        <f>167.8+18-56.4</f>
        <v>129.4</v>
      </c>
      <c r="O581" s="69">
        <f>170.3+12.7-12.4</f>
        <v>170.6</v>
      </c>
      <c r="W581" s="69">
        <v>106.5</v>
      </c>
    </row>
    <row r="582" spans="1:23" ht="15.75" x14ac:dyDescent="0.2">
      <c r="A582" s="140"/>
      <c r="B582" s="143"/>
      <c r="C582" s="99" t="s">
        <v>13</v>
      </c>
      <c r="D582" s="69">
        <f t="shared" si="294"/>
        <v>0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  <c r="W582" s="69">
        <v>0</v>
      </c>
    </row>
    <row r="583" spans="1:23" ht="15.75" x14ac:dyDescent="0.25">
      <c r="A583" s="140" t="s">
        <v>246</v>
      </c>
      <c r="B583" s="143" t="s">
        <v>57</v>
      </c>
      <c r="C583" s="86" t="s">
        <v>7</v>
      </c>
      <c r="D583" s="69">
        <f t="shared" si="294"/>
        <v>26331.599999999999</v>
      </c>
      <c r="E583" s="69">
        <f>E587+E586+E585</f>
        <v>20000</v>
      </c>
      <c r="F583" s="69">
        <f t="shared" ref="F583:O583" si="313">F584+F585+F586+F587</f>
        <v>3000</v>
      </c>
      <c r="G583" s="69">
        <f t="shared" si="313"/>
        <v>1600</v>
      </c>
      <c r="H583" s="69">
        <f t="shared" si="313"/>
        <v>791.6</v>
      </c>
      <c r="I583" s="69">
        <f t="shared" si="313"/>
        <v>940</v>
      </c>
      <c r="J583" s="69">
        <f t="shared" si="313"/>
        <v>0</v>
      </c>
      <c r="K583" s="69">
        <f t="shared" si="313"/>
        <v>0</v>
      </c>
      <c r="L583" s="69">
        <f t="shared" si="313"/>
        <v>0</v>
      </c>
      <c r="M583" s="69">
        <f t="shared" si="313"/>
        <v>0</v>
      </c>
      <c r="N583" s="69">
        <f t="shared" si="313"/>
        <v>0</v>
      </c>
      <c r="O583" s="69">
        <f t="shared" si="313"/>
        <v>0</v>
      </c>
      <c r="W583" s="69">
        <f t="shared" ref="W583" si="314">W584+W585+W586+W587</f>
        <v>0</v>
      </c>
    </row>
    <row r="584" spans="1:23" ht="15.75" x14ac:dyDescent="0.2">
      <c r="A584" s="140"/>
      <c r="B584" s="143"/>
      <c r="C584" s="99" t="s">
        <v>10</v>
      </c>
      <c r="D584" s="69">
        <f t="shared" si="294"/>
        <v>0</v>
      </c>
      <c r="E584" s="69">
        <v>0</v>
      </c>
      <c r="F584" s="69">
        <v>0</v>
      </c>
      <c r="G584" s="69">
        <v>0</v>
      </c>
      <c r="H584" s="69">
        <v>0</v>
      </c>
      <c r="I584" s="69">
        <v>0</v>
      </c>
      <c r="J584" s="69">
        <v>0</v>
      </c>
      <c r="K584" s="69">
        <v>0</v>
      </c>
      <c r="L584" s="69">
        <v>0</v>
      </c>
      <c r="M584" s="69">
        <v>0</v>
      </c>
      <c r="N584" s="69">
        <v>0</v>
      </c>
      <c r="O584" s="69">
        <v>0</v>
      </c>
      <c r="W584" s="69">
        <v>0</v>
      </c>
    </row>
    <row r="585" spans="1:23" ht="15.75" x14ac:dyDescent="0.2">
      <c r="A585" s="140"/>
      <c r="B585" s="143"/>
      <c r="C585" s="99" t="s">
        <v>11</v>
      </c>
      <c r="D585" s="69">
        <f t="shared" si="294"/>
        <v>0</v>
      </c>
      <c r="E585" s="69">
        <v>0</v>
      </c>
      <c r="F585" s="69">
        <v>0</v>
      </c>
      <c r="G585" s="69">
        <v>0</v>
      </c>
      <c r="H585" s="69">
        <v>0</v>
      </c>
      <c r="I585" s="69">
        <v>0</v>
      </c>
      <c r="J585" s="69">
        <v>0</v>
      </c>
      <c r="K585" s="69">
        <v>0</v>
      </c>
      <c r="L585" s="69">
        <v>0</v>
      </c>
      <c r="M585" s="69">
        <v>0</v>
      </c>
      <c r="N585" s="69">
        <v>0</v>
      </c>
      <c r="O585" s="69">
        <v>0</v>
      </c>
      <c r="W585" s="69">
        <v>0</v>
      </c>
    </row>
    <row r="586" spans="1:23" ht="15.75" x14ac:dyDescent="0.2">
      <c r="A586" s="140"/>
      <c r="B586" s="143"/>
      <c r="C586" s="99" t="s">
        <v>12</v>
      </c>
      <c r="D586" s="69">
        <f t="shared" si="294"/>
        <v>0</v>
      </c>
      <c r="E586" s="69">
        <v>0</v>
      </c>
      <c r="F586" s="69">
        <v>0</v>
      </c>
      <c r="G586" s="69">
        <v>0</v>
      </c>
      <c r="H586" s="69">
        <v>0</v>
      </c>
      <c r="I586" s="69">
        <v>0</v>
      </c>
      <c r="J586" s="83">
        <v>0</v>
      </c>
      <c r="K586" s="83">
        <v>0</v>
      </c>
      <c r="L586" s="83">
        <v>0</v>
      </c>
      <c r="M586" s="83">
        <v>0</v>
      </c>
      <c r="N586" s="83">
        <v>0</v>
      </c>
      <c r="O586" s="83">
        <v>0</v>
      </c>
      <c r="W586" s="83">
        <v>0</v>
      </c>
    </row>
    <row r="587" spans="1:23" ht="15.75" x14ac:dyDescent="0.2">
      <c r="A587" s="140"/>
      <c r="B587" s="143"/>
      <c r="C587" s="99" t="s">
        <v>13</v>
      </c>
      <c r="D587" s="69">
        <f t="shared" si="294"/>
        <v>26331.599999999999</v>
      </c>
      <c r="E587" s="69">
        <v>20000</v>
      </c>
      <c r="F587" s="69">
        <v>3000</v>
      </c>
      <c r="G587" s="69">
        <v>1600</v>
      </c>
      <c r="H587" s="69">
        <v>791.6</v>
      </c>
      <c r="I587" s="69">
        <v>940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50" t="s">
        <v>39</v>
      </c>
      <c r="B588" s="172" t="s">
        <v>331</v>
      </c>
      <c r="C588" s="73" t="s">
        <v>7</v>
      </c>
      <c r="D588" s="66">
        <f>E588+F588+G588+H588+I588+J588+K588+L588+M588+N588+O588+W588</f>
        <v>168625.30000000002</v>
      </c>
      <c r="E588" s="66">
        <f t="shared" ref="E588:O588" si="315">E590+E591+E592+E594</f>
        <v>13860</v>
      </c>
      <c r="F588" s="66">
        <f t="shared" si="315"/>
        <v>15421.9</v>
      </c>
      <c r="G588" s="66">
        <f t="shared" si="315"/>
        <v>19594</v>
      </c>
      <c r="H588" s="66">
        <f t="shared" si="315"/>
        <v>13152.1</v>
      </c>
      <c r="I588" s="66">
        <f t="shared" si="315"/>
        <v>23011</v>
      </c>
      <c r="J588" s="66">
        <f t="shared" si="315"/>
        <v>14576.6</v>
      </c>
      <c r="K588" s="66">
        <f t="shared" si="315"/>
        <v>18850.3</v>
      </c>
      <c r="L588" s="66">
        <f t="shared" si="315"/>
        <v>16460</v>
      </c>
      <c r="M588" s="66">
        <f t="shared" si="315"/>
        <v>15885.3</v>
      </c>
      <c r="N588" s="66">
        <f>N590+N591+N592+N594</f>
        <v>5669.7000000000007</v>
      </c>
      <c r="O588" s="66">
        <f t="shared" si="315"/>
        <v>7476.5</v>
      </c>
      <c r="P588" s="60"/>
      <c r="Q588" s="60"/>
      <c r="W588" s="66">
        <f t="shared" ref="W588" si="316">W590+W591+W592+W594</f>
        <v>4667.8999999999996</v>
      </c>
    </row>
    <row r="589" spans="1:23" ht="50.25" customHeight="1" x14ac:dyDescent="0.2">
      <c r="A589" s="150"/>
      <c r="B589" s="173"/>
      <c r="C589" s="74" t="s">
        <v>64</v>
      </c>
      <c r="D589" s="71">
        <f>E589+F589+G589+H589+I589+J589+K589+L589+M589+N589+O589</f>
        <v>1971.3999999999999</v>
      </c>
      <c r="E589" s="71">
        <f>E599</f>
        <v>752.3</v>
      </c>
      <c r="F589" s="71">
        <f t="shared" ref="F589:O589" si="317">F599</f>
        <v>0</v>
      </c>
      <c r="G589" s="71">
        <f t="shared" si="317"/>
        <v>1219.0999999999999</v>
      </c>
      <c r="H589" s="71">
        <f t="shared" si="317"/>
        <v>0</v>
      </c>
      <c r="I589" s="71">
        <f t="shared" si="317"/>
        <v>0</v>
      </c>
      <c r="J589" s="71">
        <f t="shared" si="317"/>
        <v>0</v>
      </c>
      <c r="K589" s="71">
        <f t="shared" si="317"/>
        <v>0</v>
      </c>
      <c r="L589" s="71">
        <f t="shared" si="317"/>
        <v>0</v>
      </c>
      <c r="M589" s="71">
        <f t="shared" si="317"/>
        <v>0</v>
      </c>
      <c r="N589" s="71">
        <f t="shared" si="317"/>
        <v>0</v>
      </c>
      <c r="O589" s="71">
        <f t="shared" si="317"/>
        <v>0</v>
      </c>
      <c r="W589" s="71">
        <f t="shared" ref="W589" si="318">W599</f>
        <v>0</v>
      </c>
    </row>
    <row r="590" spans="1:23" ht="18.75" customHeight="1" x14ac:dyDescent="0.2">
      <c r="A590" s="150"/>
      <c r="B590" s="173"/>
      <c r="C590" s="99" t="s">
        <v>10</v>
      </c>
      <c r="D590" s="69">
        <f>E590+F590+G590+H590+I590+J590+K590+L590+M590+N590+O590+W590</f>
        <v>0</v>
      </c>
      <c r="E590" s="69">
        <f>E596+E613</f>
        <v>0</v>
      </c>
      <c r="F590" s="69">
        <f t="shared" ref="F590:O590" si="319">F596+F613</f>
        <v>0</v>
      </c>
      <c r="G590" s="69">
        <f t="shared" si="319"/>
        <v>0</v>
      </c>
      <c r="H590" s="69">
        <f t="shared" si="319"/>
        <v>0</v>
      </c>
      <c r="I590" s="69">
        <f t="shared" si="319"/>
        <v>0</v>
      </c>
      <c r="J590" s="69">
        <v>0</v>
      </c>
      <c r="K590" s="69">
        <f t="shared" si="319"/>
        <v>0</v>
      </c>
      <c r="L590" s="69">
        <f t="shared" si="319"/>
        <v>0</v>
      </c>
      <c r="M590" s="69">
        <f t="shared" si="319"/>
        <v>0</v>
      </c>
      <c r="N590" s="69">
        <f t="shared" si="319"/>
        <v>0</v>
      </c>
      <c r="O590" s="69">
        <f t="shared" si="319"/>
        <v>0</v>
      </c>
      <c r="W590" s="69">
        <f t="shared" ref="W590" si="320">W596+W613</f>
        <v>0</v>
      </c>
    </row>
    <row r="591" spans="1:23" ht="16.5" customHeight="1" x14ac:dyDescent="0.2">
      <c r="A591" s="150"/>
      <c r="B591" s="173"/>
      <c r="C591" s="99" t="s">
        <v>11</v>
      </c>
      <c r="D591" s="69">
        <f t="shared" ref="D591:D594" si="321">E591+F591+G591+H591+I591+J591+K591+L591+M591+N591+O591+W591</f>
        <v>708.6</v>
      </c>
      <c r="E591" s="69">
        <f t="shared" ref="E591:O591" si="322">E597+E614</f>
        <v>0</v>
      </c>
      <c r="F591" s="69">
        <f t="shared" si="322"/>
        <v>0</v>
      </c>
      <c r="G591" s="69">
        <f t="shared" si="322"/>
        <v>0</v>
      </c>
      <c r="H591" s="69">
        <f t="shared" si="322"/>
        <v>0</v>
      </c>
      <c r="I591" s="69">
        <f t="shared" si="322"/>
        <v>0</v>
      </c>
      <c r="J591" s="69">
        <v>708.6</v>
      </c>
      <c r="K591" s="69">
        <f t="shared" si="322"/>
        <v>0</v>
      </c>
      <c r="L591" s="69">
        <f t="shared" si="322"/>
        <v>0</v>
      </c>
      <c r="M591" s="69">
        <f t="shared" si="322"/>
        <v>0</v>
      </c>
      <c r="N591" s="69">
        <f t="shared" si="322"/>
        <v>0</v>
      </c>
      <c r="O591" s="69">
        <f t="shared" si="322"/>
        <v>0</v>
      </c>
      <c r="W591" s="69">
        <f t="shared" ref="W591" si="323">W597+W614</f>
        <v>0</v>
      </c>
    </row>
    <row r="592" spans="1:23" ht="32.25" customHeight="1" x14ac:dyDescent="0.2">
      <c r="A592" s="150"/>
      <c r="B592" s="173"/>
      <c r="C592" s="99" t="s">
        <v>65</v>
      </c>
      <c r="D592" s="69">
        <f t="shared" si="321"/>
        <v>167916.69999999998</v>
      </c>
      <c r="E592" s="69">
        <f t="shared" ref="E592:O592" si="324">E598+E615</f>
        <v>13860</v>
      </c>
      <c r="F592" s="69">
        <f t="shared" si="324"/>
        <v>15421.9</v>
      </c>
      <c r="G592" s="69">
        <f t="shared" si="324"/>
        <v>19594</v>
      </c>
      <c r="H592" s="69">
        <f t="shared" si="324"/>
        <v>13152.1</v>
      </c>
      <c r="I592" s="69">
        <f t="shared" si="324"/>
        <v>23011</v>
      </c>
      <c r="J592" s="69">
        <f t="shared" si="324"/>
        <v>13868</v>
      </c>
      <c r="K592" s="69">
        <f t="shared" si="324"/>
        <v>18850.3</v>
      </c>
      <c r="L592" s="69">
        <f t="shared" si="324"/>
        <v>16460</v>
      </c>
      <c r="M592" s="69">
        <f t="shared" si="324"/>
        <v>15885.3</v>
      </c>
      <c r="N592" s="69">
        <f t="shared" si="324"/>
        <v>5669.7000000000007</v>
      </c>
      <c r="O592" s="69">
        <f t="shared" si="324"/>
        <v>7476.5</v>
      </c>
      <c r="W592" s="69">
        <f t="shared" ref="W592" si="325">W598+W615</f>
        <v>4667.8999999999996</v>
      </c>
    </row>
    <row r="593" spans="1:24" ht="32.25" customHeight="1" x14ac:dyDescent="0.2">
      <c r="A593" s="150"/>
      <c r="B593" s="173"/>
      <c r="C593" s="74" t="s">
        <v>79</v>
      </c>
      <c r="D593" s="71">
        <f t="shared" si="321"/>
        <v>1971.3999999999999</v>
      </c>
      <c r="E593" s="71">
        <f>E599</f>
        <v>752.3</v>
      </c>
      <c r="F593" s="71">
        <f t="shared" ref="F593:O593" si="326">F599</f>
        <v>0</v>
      </c>
      <c r="G593" s="71">
        <f t="shared" si="326"/>
        <v>1219.0999999999999</v>
      </c>
      <c r="H593" s="71">
        <f t="shared" si="326"/>
        <v>0</v>
      </c>
      <c r="I593" s="71">
        <f t="shared" si="326"/>
        <v>0</v>
      </c>
      <c r="J593" s="71">
        <f t="shared" si="326"/>
        <v>0</v>
      </c>
      <c r="K593" s="71">
        <f t="shared" si="326"/>
        <v>0</v>
      </c>
      <c r="L593" s="71">
        <f t="shared" si="326"/>
        <v>0</v>
      </c>
      <c r="M593" s="71">
        <f t="shared" si="326"/>
        <v>0</v>
      </c>
      <c r="N593" s="71">
        <f t="shared" si="326"/>
        <v>0</v>
      </c>
      <c r="O593" s="71">
        <f t="shared" si="326"/>
        <v>0</v>
      </c>
      <c r="W593" s="71">
        <f t="shared" ref="W593" si="327">W599</f>
        <v>0</v>
      </c>
    </row>
    <row r="594" spans="1:24" ht="15.75" x14ac:dyDescent="0.2">
      <c r="A594" s="150"/>
      <c r="B594" s="174"/>
      <c r="C594" s="99" t="s">
        <v>13</v>
      </c>
      <c r="D594" s="69">
        <f t="shared" si="321"/>
        <v>0</v>
      </c>
      <c r="E594" s="69">
        <f>E600+E612</f>
        <v>0</v>
      </c>
      <c r="F594" s="69">
        <f t="shared" ref="F594:O594" si="328">F600</f>
        <v>0</v>
      </c>
      <c r="G594" s="69">
        <f t="shared" si="328"/>
        <v>0</v>
      </c>
      <c r="H594" s="69">
        <f t="shared" si="328"/>
        <v>0</v>
      </c>
      <c r="I594" s="69">
        <f t="shared" si="328"/>
        <v>0</v>
      </c>
      <c r="J594" s="69">
        <f t="shared" si="328"/>
        <v>0</v>
      </c>
      <c r="K594" s="69">
        <f t="shared" si="328"/>
        <v>0</v>
      </c>
      <c r="L594" s="69">
        <f t="shared" si="328"/>
        <v>0</v>
      </c>
      <c r="M594" s="69">
        <f t="shared" si="328"/>
        <v>0</v>
      </c>
      <c r="N594" s="69">
        <f t="shared" si="328"/>
        <v>0</v>
      </c>
      <c r="O594" s="69">
        <f t="shared" si="328"/>
        <v>0</v>
      </c>
      <c r="W594" s="69">
        <f t="shared" ref="W594" si="329">W600</f>
        <v>0</v>
      </c>
    </row>
    <row r="595" spans="1:24" ht="15.75" x14ac:dyDescent="0.2">
      <c r="A595" s="134" t="s">
        <v>353</v>
      </c>
      <c r="B595" s="140" t="s">
        <v>91</v>
      </c>
      <c r="C595" s="99" t="s">
        <v>7</v>
      </c>
      <c r="D595" s="69">
        <f>E595+F595+G595+H595+I595+J595+K595+L595+M595+N595+O595+W595</f>
        <v>167916.69999999998</v>
      </c>
      <c r="E595" s="69">
        <f t="shared" ref="E595:O595" si="330">E598+E596+E597+E600</f>
        <v>13860</v>
      </c>
      <c r="F595" s="69">
        <f t="shared" si="330"/>
        <v>15421.9</v>
      </c>
      <c r="G595" s="69">
        <f t="shared" si="330"/>
        <v>19594</v>
      </c>
      <c r="H595" s="69">
        <f t="shared" si="330"/>
        <v>13152.1</v>
      </c>
      <c r="I595" s="69">
        <f t="shared" si="330"/>
        <v>23011</v>
      </c>
      <c r="J595" s="69">
        <f t="shared" si="330"/>
        <v>13868</v>
      </c>
      <c r="K595" s="69">
        <f t="shared" si="330"/>
        <v>18850.3</v>
      </c>
      <c r="L595" s="69">
        <f t="shared" si="330"/>
        <v>16460</v>
      </c>
      <c r="M595" s="69">
        <f t="shared" si="330"/>
        <v>15885.3</v>
      </c>
      <c r="N595" s="69">
        <f t="shared" si="330"/>
        <v>5669.7000000000007</v>
      </c>
      <c r="O595" s="69">
        <f t="shared" si="330"/>
        <v>7476.5</v>
      </c>
      <c r="W595" s="69">
        <f t="shared" ref="W595" si="331">W598+W596+W597+W600</f>
        <v>4667.8999999999996</v>
      </c>
    </row>
    <row r="596" spans="1:24" ht="15.75" x14ac:dyDescent="0.2">
      <c r="A596" s="148"/>
      <c r="B596" s="140"/>
      <c r="C596" s="99" t="s">
        <v>10</v>
      </c>
      <c r="D596" s="69">
        <f t="shared" ref="D596:D621" si="332">E596+F596+G596+H596+I596+J596+K596+L596+M596+N596+O596+W596</f>
        <v>0</v>
      </c>
      <c r="E596" s="69">
        <f>E602+E608</f>
        <v>0</v>
      </c>
      <c r="F596" s="69">
        <f t="shared" ref="F596:O596" si="333">F602+F608</f>
        <v>0</v>
      </c>
      <c r="G596" s="69">
        <f t="shared" si="333"/>
        <v>0</v>
      </c>
      <c r="H596" s="69">
        <f t="shared" si="333"/>
        <v>0</v>
      </c>
      <c r="I596" s="69">
        <f t="shared" si="333"/>
        <v>0</v>
      </c>
      <c r="J596" s="69">
        <f t="shared" si="333"/>
        <v>0</v>
      </c>
      <c r="K596" s="69">
        <f t="shared" si="333"/>
        <v>0</v>
      </c>
      <c r="L596" s="69">
        <f t="shared" si="333"/>
        <v>0</v>
      </c>
      <c r="M596" s="69">
        <f t="shared" si="333"/>
        <v>0</v>
      </c>
      <c r="N596" s="69">
        <f t="shared" si="333"/>
        <v>0</v>
      </c>
      <c r="O596" s="69">
        <f t="shared" si="333"/>
        <v>0</v>
      </c>
      <c r="W596" s="69">
        <f t="shared" ref="W596" si="334">W602+W608</f>
        <v>0</v>
      </c>
    </row>
    <row r="597" spans="1:24" ht="15.75" x14ac:dyDescent="0.2">
      <c r="A597" s="148"/>
      <c r="B597" s="140"/>
      <c r="C597" s="99" t="s">
        <v>11</v>
      </c>
      <c r="D597" s="69">
        <f t="shared" si="332"/>
        <v>0</v>
      </c>
      <c r="E597" s="69">
        <f t="shared" ref="E597:O597" si="335">E603+E609</f>
        <v>0</v>
      </c>
      <c r="F597" s="69">
        <f t="shared" si="335"/>
        <v>0</v>
      </c>
      <c r="G597" s="69">
        <f t="shared" si="335"/>
        <v>0</v>
      </c>
      <c r="H597" s="69">
        <f t="shared" si="335"/>
        <v>0</v>
      </c>
      <c r="I597" s="69">
        <f t="shared" si="335"/>
        <v>0</v>
      </c>
      <c r="J597" s="69">
        <f t="shared" si="335"/>
        <v>0</v>
      </c>
      <c r="K597" s="69">
        <f t="shared" si="335"/>
        <v>0</v>
      </c>
      <c r="L597" s="69">
        <f t="shared" si="335"/>
        <v>0</v>
      </c>
      <c r="M597" s="69">
        <f t="shared" si="335"/>
        <v>0</v>
      </c>
      <c r="N597" s="69">
        <f t="shared" si="335"/>
        <v>0</v>
      </c>
      <c r="O597" s="69">
        <f t="shared" si="335"/>
        <v>0</v>
      </c>
      <c r="W597" s="69">
        <f t="shared" ref="W597" si="336">W603+W609</f>
        <v>0</v>
      </c>
    </row>
    <row r="598" spans="1:24" ht="31.5" customHeight="1" x14ac:dyDescent="0.2">
      <c r="A598" s="148"/>
      <c r="B598" s="140"/>
      <c r="C598" s="99" t="s">
        <v>65</v>
      </c>
      <c r="D598" s="69">
        <f t="shared" si="332"/>
        <v>167916.69999999998</v>
      </c>
      <c r="E598" s="69">
        <f>E604+E610</f>
        <v>13860</v>
      </c>
      <c r="F598" s="69">
        <f t="shared" ref="F598:O598" si="337">F604+F610</f>
        <v>15421.9</v>
      </c>
      <c r="G598" s="69">
        <f t="shared" si="337"/>
        <v>19594</v>
      </c>
      <c r="H598" s="69">
        <f t="shared" si="337"/>
        <v>13152.1</v>
      </c>
      <c r="I598" s="69">
        <f t="shared" si="337"/>
        <v>23011</v>
      </c>
      <c r="J598" s="69">
        <f>J604+J610</f>
        <v>13868</v>
      </c>
      <c r="K598" s="69">
        <f t="shared" si="337"/>
        <v>18850.3</v>
      </c>
      <c r="L598" s="69">
        <f t="shared" si="337"/>
        <v>16460</v>
      </c>
      <c r="M598" s="69">
        <f t="shared" si="337"/>
        <v>15885.3</v>
      </c>
      <c r="N598" s="69">
        <f t="shared" si="337"/>
        <v>5669.7000000000007</v>
      </c>
      <c r="O598" s="69">
        <f t="shared" si="337"/>
        <v>7476.5</v>
      </c>
      <c r="W598" s="69">
        <f t="shared" ref="W598" si="338">W604+W610</f>
        <v>4667.8999999999996</v>
      </c>
    </row>
    <row r="599" spans="1:24" ht="33" customHeight="1" x14ac:dyDescent="0.2">
      <c r="A599" s="148"/>
      <c r="B599" s="140"/>
      <c r="C599" s="74" t="s">
        <v>79</v>
      </c>
      <c r="D599" s="69">
        <f t="shared" si="332"/>
        <v>1971.3999999999999</v>
      </c>
      <c r="E599" s="71">
        <f>E605</f>
        <v>752.3</v>
      </c>
      <c r="F599" s="71">
        <f t="shared" ref="F599:O599" si="339">F605</f>
        <v>0</v>
      </c>
      <c r="G599" s="71">
        <f t="shared" si="339"/>
        <v>1219.0999999999999</v>
      </c>
      <c r="H599" s="71">
        <f t="shared" si="339"/>
        <v>0</v>
      </c>
      <c r="I599" s="71">
        <f t="shared" si="339"/>
        <v>0</v>
      </c>
      <c r="J599" s="71">
        <f t="shared" si="339"/>
        <v>0</v>
      </c>
      <c r="K599" s="71">
        <f t="shared" si="339"/>
        <v>0</v>
      </c>
      <c r="L599" s="71">
        <f t="shared" si="339"/>
        <v>0</v>
      </c>
      <c r="M599" s="71">
        <f t="shared" si="339"/>
        <v>0</v>
      </c>
      <c r="N599" s="71">
        <f t="shared" si="339"/>
        <v>0</v>
      </c>
      <c r="O599" s="71">
        <f t="shared" si="339"/>
        <v>0</v>
      </c>
      <c r="W599" s="71">
        <f t="shared" ref="W599" si="340">W605</f>
        <v>0</v>
      </c>
    </row>
    <row r="600" spans="1:24" ht="17.25" customHeight="1" x14ac:dyDescent="0.2">
      <c r="A600" s="149"/>
      <c r="B600" s="140"/>
      <c r="C600" s="99" t="s">
        <v>13</v>
      </c>
      <c r="D600" s="69">
        <f t="shared" si="332"/>
        <v>0</v>
      </c>
      <c r="E600" s="69">
        <f t="shared" ref="E600:O600" si="341">E606+E611</f>
        <v>0</v>
      </c>
      <c r="F600" s="69">
        <f t="shared" si="341"/>
        <v>0</v>
      </c>
      <c r="G600" s="69">
        <f t="shared" si="341"/>
        <v>0</v>
      </c>
      <c r="H600" s="69">
        <f t="shared" si="341"/>
        <v>0</v>
      </c>
      <c r="I600" s="69">
        <f t="shared" si="341"/>
        <v>0</v>
      </c>
      <c r="J600" s="69">
        <f t="shared" si="341"/>
        <v>0</v>
      </c>
      <c r="K600" s="69">
        <f t="shared" si="341"/>
        <v>0</v>
      </c>
      <c r="L600" s="69">
        <f t="shared" si="341"/>
        <v>0</v>
      </c>
      <c r="M600" s="69">
        <f t="shared" si="341"/>
        <v>0</v>
      </c>
      <c r="N600" s="69">
        <f t="shared" si="341"/>
        <v>0</v>
      </c>
      <c r="O600" s="69">
        <f t="shared" si="341"/>
        <v>0</v>
      </c>
      <c r="W600" s="69">
        <f t="shared" ref="W600" si="342">W606+W611</f>
        <v>0</v>
      </c>
    </row>
    <row r="601" spans="1:24" ht="17.25" customHeight="1" x14ac:dyDescent="0.2">
      <c r="A601" s="145" t="s">
        <v>133</v>
      </c>
      <c r="B601" s="143" t="s">
        <v>137</v>
      </c>
      <c r="C601" s="99" t="s">
        <v>7</v>
      </c>
      <c r="D601" s="69">
        <f t="shared" si="332"/>
        <v>36232.1</v>
      </c>
      <c r="E601" s="69">
        <f t="shared" ref="E601:O601" si="343">E602+E603+E604+E606</f>
        <v>6610.3</v>
      </c>
      <c r="F601" s="69">
        <f t="shared" si="343"/>
        <v>5421.9</v>
      </c>
      <c r="G601" s="69">
        <f t="shared" si="343"/>
        <v>1966.9</v>
      </c>
      <c r="H601" s="69">
        <f t="shared" si="343"/>
        <v>945.9</v>
      </c>
      <c r="I601" s="69">
        <f t="shared" si="343"/>
        <v>11181</v>
      </c>
      <c r="J601" s="69">
        <f t="shared" si="343"/>
        <v>2488.6000000000004</v>
      </c>
      <c r="K601" s="69">
        <f t="shared" si="343"/>
        <v>1158.3</v>
      </c>
      <c r="L601" s="69">
        <f t="shared" si="343"/>
        <v>3329.8</v>
      </c>
      <c r="M601" s="69">
        <f t="shared" si="343"/>
        <v>3129.4</v>
      </c>
      <c r="N601" s="69">
        <f t="shared" si="343"/>
        <v>0</v>
      </c>
      <c r="O601" s="69">
        <f t="shared" si="343"/>
        <v>0</v>
      </c>
      <c r="W601" s="69">
        <f t="shared" ref="W601" si="344">W602+W603+W604+W606</f>
        <v>0</v>
      </c>
    </row>
    <row r="602" spans="1:24" ht="15.75" x14ac:dyDescent="0.2">
      <c r="A602" s="145"/>
      <c r="B602" s="143"/>
      <c r="C602" s="99" t="s">
        <v>10</v>
      </c>
      <c r="D602" s="69">
        <f t="shared" si="332"/>
        <v>0</v>
      </c>
      <c r="E602" s="69">
        <v>0</v>
      </c>
      <c r="F602" s="69">
        <v>0</v>
      </c>
      <c r="G602" s="69">
        <v>0</v>
      </c>
      <c r="H602" s="69">
        <v>0</v>
      </c>
      <c r="I602" s="69">
        <v>0</v>
      </c>
      <c r="J602" s="69">
        <v>0</v>
      </c>
      <c r="K602" s="69">
        <v>0</v>
      </c>
      <c r="L602" s="69">
        <v>0</v>
      </c>
      <c r="M602" s="69">
        <v>0</v>
      </c>
      <c r="N602" s="69">
        <v>0</v>
      </c>
      <c r="O602" s="69">
        <v>0</v>
      </c>
      <c r="W602" s="69">
        <v>0</v>
      </c>
    </row>
    <row r="603" spans="1:24" ht="15.75" x14ac:dyDescent="0.2">
      <c r="A603" s="145"/>
      <c r="B603" s="143"/>
      <c r="C603" s="99" t="s">
        <v>11</v>
      </c>
      <c r="D603" s="69">
        <f t="shared" si="332"/>
        <v>0</v>
      </c>
      <c r="E603" s="69">
        <v>0</v>
      </c>
      <c r="F603" s="69">
        <v>0</v>
      </c>
      <c r="G603" s="69">
        <v>0</v>
      </c>
      <c r="H603" s="69">
        <v>0</v>
      </c>
      <c r="I603" s="69">
        <v>0</v>
      </c>
      <c r="J603" s="69">
        <v>0</v>
      </c>
      <c r="K603" s="69">
        <v>0</v>
      </c>
      <c r="L603" s="69">
        <v>0</v>
      </c>
      <c r="M603" s="69">
        <v>0</v>
      </c>
      <c r="N603" s="69">
        <v>0</v>
      </c>
      <c r="O603" s="69">
        <v>0</v>
      </c>
      <c r="W603" s="69">
        <v>0</v>
      </c>
    </row>
    <row r="604" spans="1:24" ht="31.5" x14ac:dyDescent="0.2">
      <c r="A604" s="145"/>
      <c r="B604" s="143"/>
      <c r="C604" s="99" t="s">
        <v>65</v>
      </c>
      <c r="D604" s="69">
        <f t="shared" si="332"/>
        <v>36232.1</v>
      </c>
      <c r="E604" s="69">
        <v>6610.3</v>
      </c>
      <c r="F604" s="69">
        <v>5421.9</v>
      </c>
      <c r="G604" s="69">
        <v>1966.9</v>
      </c>
      <c r="H604" s="69">
        <v>945.9</v>
      </c>
      <c r="I604" s="69">
        <v>11181</v>
      </c>
      <c r="J604" s="69">
        <f>1513.4+227.7+600+147.5</f>
        <v>2488.6000000000004</v>
      </c>
      <c r="K604" s="69">
        <f>1059.4+633.1+454-1078.2+90</f>
        <v>1158.3</v>
      </c>
      <c r="L604" s="69">
        <f>523.5+4871.8-1722-343.5</f>
        <v>3329.8</v>
      </c>
      <c r="M604" s="57">
        <f>409.4+2720.1+971.1+1797.9-2769-0.1</f>
        <v>3129.4</v>
      </c>
      <c r="N604" s="69">
        <f>557.8-557.8</f>
        <v>0</v>
      </c>
      <c r="O604" s="69">
        <v>0</v>
      </c>
      <c r="W604" s="69">
        <v>0</v>
      </c>
      <c r="X604" s="60"/>
    </row>
    <row r="605" spans="1:24" ht="31.5" x14ac:dyDescent="0.2">
      <c r="A605" s="145"/>
      <c r="B605" s="143"/>
      <c r="C605" s="74" t="s">
        <v>79</v>
      </c>
      <c r="D605" s="69">
        <f t="shared" si="332"/>
        <v>1971.3999999999999</v>
      </c>
      <c r="E605" s="71">
        <v>752.3</v>
      </c>
      <c r="F605" s="71">
        <v>0</v>
      </c>
      <c r="G605" s="71">
        <v>1219.0999999999999</v>
      </c>
      <c r="H605" s="71">
        <v>0</v>
      </c>
      <c r="I605" s="71">
        <v>0</v>
      </c>
      <c r="J605" s="71">
        <v>0</v>
      </c>
      <c r="K605" s="71">
        <v>0</v>
      </c>
      <c r="L605" s="71">
        <v>0</v>
      </c>
      <c r="M605" s="71">
        <v>0</v>
      </c>
      <c r="N605" s="71">
        <v>0</v>
      </c>
      <c r="O605" s="71">
        <v>0</v>
      </c>
      <c r="W605" s="71">
        <v>0</v>
      </c>
    </row>
    <row r="606" spans="1:24" ht="19.5" customHeight="1" x14ac:dyDescent="0.2">
      <c r="A606" s="145"/>
      <c r="B606" s="143"/>
      <c r="C606" s="99" t="s">
        <v>13</v>
      </c>
      <c r="D606" s="69">
        <f t="shared" si="332"/>
        <v>0</v>
      </c>
      <c r="E606" s="69">
        <v>0</v>
      </c>
      <c r="F606" s="69">
        <v>0</v>
      </c>
      <c r="G606" s="69">
        <v>0</v>
      </c>
      <c r="H606" s="69">
        <v>0</v>
      </c>
      <c r="I606" s="69">
        <v>0</v>
      </c>
      <c r="J606" s="69">
        <v>0</v>
      </c>
      <c r="K606" s="69">
        <v>0</v>
      </c>
      <c r="L606" s="69">
        <v>0</v>
      </c>
      <c r="M606" s="69">
        <v>0</v>
      </c>
      <c r="N606" s="69">
        <v>0</v>
      </c>
      <c r="O606" s="69">
        <v>0</v>
      </c>
      <c r="W606" s="69">
        <v>0</v>
      </c>
    </row>
    <row r="607" spans="1:24" ht="15.75" x14ac:dyDescent="0.2">
      <c r="A607" s="145" t="s">
        <v>83</v>
      </c>
      <c r="B607" s="143" t="s">
        <v>59</v>
      </c>
      <c r="C607" s="99" t="s">
        <v>7</v>
      </c>
      <c r="D607" s="69">
        <f t="shared" si="332"/>
        <v>131684.59999999998</v>
      </c>
      <c r="E607" s="69">
        <f t="shared" ref="E607:O607" si="345">E608+E609+E610+E611</f>
        <v>7249.7</v>
      </c>
      <c r="F607" s="69">
        <f t="shared" si="345"/>
        <v>10000</v>
      </c>
      <c r="G607" s="69">
        <f t="shared" si="345"/>
        <v>17627.099999999999</v>
      </c>
      <c r="H607" s="69">
        <f t="shared" si="345"/>
        <v>12206.2</v>
      </c>
      <c r="I607" s="69">
        <f t="shared" si="345"/>
        <v>11830</v>
      </c>
      <c r="J607" s="69">
        <f t="shared" si="345"/>
        <v>11379.4</v>
      </c>
      <c r="K607" s="69">
        <f t="shared" si="345"/>
        <v>17692</v>
      </c>
      <c r="L607" s="69">
        <f t="shared" si="345"/>
        <v>13130.2</v>
      </c>
      <c r="M607" s="69">
        <f t="shared" si="345"/>
        <v>12755.9</v>
      </c>
      <c r="N607" s="69">
        <f t="shared" si="345"/>
        <v>5669.7000000000007</v>
      </c>
      <c r="O607" s="69">
        <f t="shared" si="345"/>
        <v>7476.5</v>
      </c>
      <c r="W607" s="69">
        <f t="shared" ref="W607" si="346">W608+W609+W610+W611</f>
        <v>4667.8999999999996</v>
      </c>
    </row>
    <row r="608" spans="1:24" ht="15.75" x14ac:dyDescent="0.2">
      <c r="A608" s="145"/>
      <c r="B608" s="143"/>
      <c r="C608" s="99" t="s">
        <v>10</v>
      </c>
      <c r="D608" s="69">
        <f t="shared" si="332"/>
        <v>0</v>
      </c>
      <c r="E608" s="69">
        <v>0</v>
      </c>
      <c r="F608" s="69">
        <v>0</v>
      </c>
      <c r="G608" s="69">
        <v>0</v>
      </c>
      <c r="H608" s="69">
        <v>0</v>
      </c>
      <c r="I608" s="69">
        <v>0</v>
      </c>
      <c r="J608" s="69">
        <v>0</v>
      </c>
      <c r="K608" s="69">
        <v>0</v>
      </c>
      <c r="L608" s="69">
        <v>0</v>
      </c>
      <c r="M608" s="69">
        <v>0</v>
      </c>
      <c r="N608" s="69">
        <v>0</v>
      </c>
      <c r="O608" s="69">
        <v>0</v>
      </c>
      <c r="W608" s="69">
        <v>0</v>
      </c>
    </row>
    <row r="609" spans="1:23" ht="15.75" x14ac:dyDescent="0.2">
      <c r="A609" s="145"/>
      <c r="B609" s="143"/>
      <c r="C609" s="99" t="s">
        <v>11</v>
      </c>
      <c r="D609" s="69">
        <f t="shared" si="332"/>
        <v>0</v>
      </c>
      <c r="E609" s="69">
        <v>0</v>
      </c>
      <c r="F609" s="69">
        <v>0</v>
      </c>
      <c r="G609" s="69">
        <v>0</v>
      </c>
      <c r="H609" s="69">
        <v>0</v>
      </c>
      <c r="I609" s="69">
        <v>0</v>
      </c>
      <c r="J609" s="69">
        <v>0</v>
      </c>
      <c r="K609" s="69">
        <v>0</v>
      </c>
      <c r="L609" s="69">
        <v>0</v>
      </c>
      <c r="M609" s="69">
        <v>0</v>
      </c>
      <c r="N609" s="69">
        <v>0</v>
      </c>
      <c r="O609" s="69">
        <v>0</v>
      </c>
      <c r="W609" s="69">
        <v>0</v>
      </c>
    </row>
    <row r="610" spans="1:23" ht="15.75" x14ac:dyDescent="0.2">
      <c r="A610" s="145"/>
      <c r="B610" s="143"/>
      <c r="C610" s="99" t="s">
        <v>12</v>
      </c>
      <c r="D610" s="69">
        <f t="shared" si="332"/>
        <v>131684.59999999998</v>
      </c>
      <c r="E610" s="69">
        <v>7249.7</v>
      </c>
      <c r="F610" s="69">
        <v>10000</v>
      </c>
      <c r="G610" s="69">
        <v>17627.099999999999</v>
      </c>
      <c r="H610" s="69">
        <v>12206.2</v>
      </c>
      <c r="I610" s="69">
        <v>11830</v>
      </c>
      <c r="J610" s="69">
        <f>11444.4-65</f>
        <v>11379.4</v>
      </c>
      <c r="K610" s="69">
        <f>8540+1940+2150+143.2+4918.8</f>
        <v>17692</v>
      </c>
      <c r="L610" s="69">
        <f>6900.2+4030+2200</f>
        <v>13130.2</v>
      </c>
      <c r="M610" s="69">
        <f>7316.7-410.8+1100+2800+1950</f>
        <v>12755.9</v>
      </c>
      <c r="N610" s="69">
        <f>7352.5+785.6-2468.4</f>
        <v>5669.7000000000007</v>
      </c>
      <c r="O610" s="69">
        <f>12200-4182-541.5</f>
        <v>7476.5</v>
      </c>
      <c r="W610" s="69">
        <v>4667.8999999999996</v>
      </c>
    </row>
    <row r="611" spans="1:23" ht="26.25" customHeight="1" x14ac:dyDescent="0.2">
      <c r="A611" s="145"/>
      <c r="B611" s="143"/>
      <c r="C611" s="94" t="s">
        <v>13</v>
      </c>
      <c r="D611" s="69">
        <f t="shared" si="332"/>
        <v>0</v>
      </c>
      <c r="E611" s="69">
        <v>0</v>
      </c>
      <c r="F611" s="69">
        <v>0</v>
      </c>
      <c r="G611" s="69">
        <v>0</v>
      </c>
      <c r="H611" s="69">
        <v>0</v>
      </c>
      <c r="I611" s="69">
        <v>0</v>
      </c>
      <c r="J611" s="69">
        <v>0</v>
      </c>
      <c r="K611" s="69">
        <v>0</v>
      </c>
      <c r="L611" s="69">
        <v>0</v>
      </c>
      <c r="M611" s="69">
        <v>0</v>
      </c>
      <c r="N611" s="69">
        <v>0</v>
      </c>
      <c r="O611" s="69">
        <v>0</v>
      </c>
      <c r="W611" s="69">
        <v>0</v>
      </c>
    </row>
    <row r="612" spans="1:23" ht="15.75" x14ac:dyDescent="0.2">
      <c r="A612" s="134" t="s">
        <v>355</v>
      </c>
      <c r="B612" s="140" t="s">
        <v>362</v>
      </c>
      <c r="C612" s="99" t="s">
        <v>7</v>
      </c>
      <c r="D612" s="69">
        <f t="shared" si="332"/>
        <v>708.6</v>
      </c>
      <c r="E612" s="69">
        <f t="shared" ref="E612:O612" si="347">E615+E613+E614+E616</f>
        <v>0</v>
      </c>
      <c r="F612" s="69">
        <f t="shared" si="347"/>
        <v>0</v>
      </c>
      <c r="G612" s="69">
        <f t="shared" si="347"/>
        <v>0</v>
      </c>
      <c r="H612" s="69">
        <f t="shared" si="347"/>
        <v>0</v>
      </c>
      <c r="I612" s="69">
        <f t="shared" si="347"/>
        <v>0</v>
      </c>
      <c r="J612" s="69">
        <f t="shared" si="347"/>
        <v>708.6</v>
      </c>
      <c r="K612" s="69">
        <f t="shared" si="347"/>
        <v>0</v>
      </c>
      <c r="L612" s="69">
        <f t="shared" si="347"/>
        <v>0</v>
      </c>
      <c r="M612" s="69">
        <f t="shared" si="347"/>
        <v>0</v>
      </c>
      <c r="N612" s="69">
        <f t="shared" si="347"/>
        <v>0</v>
      </c>
      <c r="O612" s="69">
        <f t="shared" si="347"/>
        <v>0</v>
      </c>
      <c r="W612" s="69">
        <f t="shared" ref="W612" si="348">W615+W613+W614+W616</f>
        <v>0</v>
      </c>
    </row>
    <row r="613" spans="1:23" ht="15.75" x14ac:dyDescent="0.2">
      <c r="A613" s="148"/>
      <c r="B613" s="140"/>
      <c r="C613" s="99" t="s">
        <v>10</v>
      </c>
      <c r="D613" s="69">
        <f t="shared" si="332"/>
        <v>0</v>
      </c>
      <c r="E613" s="69">
        <f>E618</f>
        <v>0</v>
      </c>
      <c r="F613" s="69">
        <f t="shared" ref="F613:O613" si="349">F618</f>
        <v>0</v>
      </c>
      <c r="G613" s="69">
        <f t="shared" si="349"/>
        <v>0</v>
      </c>
      <c r="H613" s="69">
        <f t="shared" si="349"/>
        <v>0</v>
      </c>
      <c r="I613" s="69">
        <f t="shared" si="349"/>
        <v>0</v>
      </c>
      <c r="J613" s="69">
        <f t="shared" si="349"/>
        <v>0</v>
      </c>
      <c r="K613" s="69">
        <f t="shared" si="349"/>
        <v>0</v>
      </c>
      <c r="L613" s="69">
        <f t="shared" si="349"/>
        <v>0</v>
      </c>
      <c r="M613" s="69">
        <f t="shared" si="349"/>
        <v>0</v>
      </c>
      <c r="N613" s="69">
        <f t="shared" si="349"/>
        <v>0</v>
      </c>
      <c r="O613" s="69">
        <f t="shared" si="349"/>
        <v>0</v>
      </c>
      <c r="W613" s="69">
        <f t="shared" ref="W613" si="350">W618</f>
        <v>0</v>
      </c>
    </row>
    <row r="614" spans="1:23" ht="15.75" x14ac:dyDescent="0.2">
      <c r="A614" s="148"/>
      <c r="B614" s="140"/>
      <c r="C614" s="99" t="s">
        <v>11</v>
      </c>
      <c r="D614" s="69">
        <f t="shared" si="332"/>
        <v>708.6</v>
      </c>
      <c r="E614" s="69">
        <f>E619</f>
        <v>0</v>
      </c>
      <c r="F614" s="69">
        <f t="shared" ref="F614:O614" si="351">F619</f>
        <v>0</v>
      </c>
      <c r="G614" s="69">
        <f t="shared" si="351"/>
        <v>0</v>
      </c>
      <c r="H614" s="69">
        <f t="shared" si="351"/>
        <v>0</v>
      </c>
      <c r="I614" s="69">
        <f t="shared" si="351"/>
        <v>0</v>
      </c>
      <c r="J614" s="69">
        <f t="shared" si="351"/>
        <v>708.6</v>
      </c>
      <c r="K614" s="69">
        <f t="shared" si="351"/>
        <v>0</v>
      </c>
      <c r="L614" s="69">
        <f t="shared" si="351"/>
        <v>0</v>
      </c>
      <c r="M614" s="69">
        <f t="shared" si="351"/>
        <v>0</v>
      </c>
      <c r="N614" s="69">
        <f t="shared" si="351"/>
        <v>0</v>
      </c>
      <c r="O614" s="69">
        <f t="shared" si="351"/>
        <v>0</v>
      </c>
      <c r="W614" s="69">
        <f t="shared" ref="W614" si="352">W619</f>
        <v>0</v>
      </c>
    </row>
    <row r="615" spans="1:23" ht="31.5" customHeight="1" x14ac:dyDescent="0.2">
      <c r="A615" s="148"/>
      <c r="B615" s="140"/>
      <c r="C615" s="99" t="s">
        <v>65</v>
      </c>
      <c r="D615" s="69">
        <f t="shared" si="332"/>
        <v>0</v>
      </c>
      <c r="E615" s="69">
        <f>E620</f>
        <v>0</v>
      </c>
      <c r="F615" s="69">
        <f t="shared" ref="F615:O615" si="353">F620</f>
        <v>0</v>
      </c>
      <c r="G615" s="69">
        <f t="shared" si="353"/>
        <v>0</v>
      </c>
      <c r="H615" s="69">
        <f t="shared" si="353"/>
        <v>0</v>
      </c>
      <c r="I615" s="69">
        <f t="shared" si="353"/>
        <v>0</v>
      </c>
      <c r="J615" s="69">
        <f t="shared" si="353"/>
        <v>0</v>
      </c>
      <c r="K615" s="69">
        <f t="shared" si="353"/>
        <v>0</v>
      </c>
      <c r="L615" s="69">
        <f t="shared" si="353"/>
        <v>0</v>
      </c>
      <c r="M615" s="69">
        <f t="shared" si="353"/>
        <v>0</v>
      </c>
      <c r="N615" s="69">
        <f t="shared" si="353"/>
        <v>0</v>
      </c>
      <c r="O615" s="69">
        <f t="shared" si="353"/>
        <v>0</v>
      </c>
      <c r="W615" s="69">
        <f t="shared" ref="W615" si="354">W620</f>
        <v>0</v>
      </c>
    </row>
    <row r="616" spans="1:23" ht="17.25" customHeight="1" x14ac:dyDescent="0.2">
      <c r="A616" s="149"/>
      <c r="B616" s="140"/>
      <c r="C616" s="99" t="s">
        <v>13</v>
      </c>
      <c r="D616" s="69">
        <f t="shared" si="332"/>
        <v>0</v>
      </c>
      <c r="E616" s="69">
        <f>E621</f>
        <v>0</v>
      </c>
      <c r="F616" s="69">
        <f t="shared" ref="F616:O616" si="355">F621</f>
        <v>0</v>
      </c>
      <c r="G616" s="69">
        <f t="shared" si="355"/>
        <v>0</v>
      </c>
      <c r="H616" s="69">
        <f t="shared" si="355"/>
        <v>0</v>
      </c>
      <c r="I616" s="69">
        <f t="shared" si="355"/>
        <v>0</v>
      </c>
      <c r="J616" s="69">
        <f t="shared" si="355"/>
        <v>0</v>
      </c>
      <c r="K616" s="69">
        <f t="shared" si="355"/>
        <v>0</v>
      </c>
      <c r="L616" s="69">
        <f t="shared" si="355"/>
        <v>0</v>
      </c>
      <c r="M616" s="69">
        <f t="shared" si="355"/>
        <v>0</v>
      </c>
      <c r="N616" s="69">
        <f t="shared" si="355"/>
        <v>0</v>
      </c>
      <c r="O616" s="69">
        <f t="shared" si="355"/>
        <v>0</v>
      </c>
      <c r="W616" s="69">
        <f t="shared" ref="W616" si="356">W621</f>
        <v>0</v>
      </c>
    </row>
    <row r="617" spans="1:23" ht="15.75" x14ac:dyDescent="0.2">
      <c r="A617" s="145" t="s">
        <v>356</v>
      </c>
      <c r="B617" s="143" t="s">
        <v>363</v>
      </c>
      <c r="C617" s="99" t="s">
        <v>7</v>
      </c>
      <c r="D617" s="69">
        <f t="shared" si="332"/>
        <v>708.6</v>
      </c>
      <c r="E617" s="69">
        <f t="shared" ref="E617:O617" si="357">E618+E619+E620+E621</f>
        <v>0</v>
      </c>
      <c r="F617" s="69">
        <f t="shared" si="357"/>
        <v>0</v>
      </c>
      <c r="G617" s="69">
        <f t="shared" si="357"/>
        <v>0</v>
      </c>
      <c r="H617" s="69">
        <f t="shared" si="357"/>
        <v>0</v>
      </c>
      <c r="I617" s="69">
        <f t="shared" si="357"/>
        <v>0</v>
      </c>
      <c r="J617" s="69">
        <f t="shared" si="357"/>
        <v>708.6</v>
      </c>
      <c r="K617" s="69">
        <f t="shared" si="357"/>
        <v>0</v>
      </c>
      <c r="L617" s="69">
        <f t="shared" si="357"/>
        <v>0</v>
      </c>
      <c r="M617" s="69">
        <f t="shared" si="357"/>
        <v>0</v>
      </c>
      <c r="N617" s="69">
        <f t="shared" si="357"/>
        <v>0</v>
      </c>
      <c r="O617" s="69">
        <f t="shared" si="357"/>
        <v>0</v>
      </c>
      <c r="W617" s="69">
        <f t="shared" ref="W617" si="358">W618+W619+W620+W621</f>
        <v>0</v>
      </c>
    </row>
    <row r="618" spans="1:23" ht="15.75" x14ac:dyDescent="0.2">
      <c r="A618" s="145"/>
      <c r="B618" s="143"/>
      <c r="C618" s="99" t="s">
        <v>10</v>
      </c>
      <c r="D618" s="69">
        <f t="shared" si="332"/>
        <v>0</v>
      </c>
      <c r="E618" s="69">
        <v>0</v>
      </c>
      <c r="F618" s="69">
        <v>0</v>
      </c>
      <c r="G618" s="69">
        <v>0</v>
      </c>
      <c r="H618" s="69">
        <v>0</v>
      </c>
      <c r="I618" s="69">
        <v>0</v>
      </c>
      <c r="J618" s="69">
        <v>0</v>
      </c>
      <c r="K618" s="69">
        <v>0</v>
      </c>
      <c r="L618" s="69">
        <v>0</v>
      </c>
      <c r="M618" s="69">
        <v>0</v>
      </c>
      <c r="N618" s="69">
        <v>0</v>
      </c>
      <c r="O618" s="69">
        <v>0</v>
      </c>
      <c r="W618" s="69">
        <v>0</v>
      </c>
    </row>
    <row r="619" spans="1:23" ht="15.75" x14ac:dyDescent="0.2">
      <c r="A619" s="145"/>
      <c r="B619" s="143"/>
      <c r="C619" s="99" t="s">
        <v>11</v>
      </c>
      <c r="D619" s="69">
        <f t="shared" si="332"/>
        <v>708.6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708.6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3" ht="23.25" customHeight="1" x14ac:dyDescent="0.2">
      <c r="A620" s="145"/>
      <c r="B620" s="143"/>
      <c r="C620" s="99" t="s">
        <v>12</v>
      </c>
      <c r="D620" s="69">
        <f t="shared" si="332"/>
        <v>0</v>
      </c>
      <c r="E620" s="69">
        <v>0</v>
      </c>
      <c r="F620" s="69">
        <v>0</v>
      </c>
      <c r="G620" s="69">
        <v>0</v>
      </c>
      <c r="H620" s="69">
        <v>0</v>
      </c>
      <c r="I620" s="69">
        <v>0</v>
      </c>
      <c r="J620" s="69">
        <v>0</v>
      </c>
      <c r="K620" s="69">
        <v>0</v>
      </c>
      <c r="L620" s="69">
        <v>0</v>
      </c>
      <c r="M620" s="69">
        <v>0</v>
      </c>
      <c r="N620" s="69">
        <v>0</v>
      </c>
      <c r="O620" s="69">
        <v>0</v>
      </c>
      <c r="W620" s="69">
        <v>0</v>
      </c>
    </row>
    <row r="621" spans="1:23" ht="24.75" customHeight="1" x14ac:dyDescent="0.2">
      <c r="A621" s="145"/>
      <c r="B621" s="143"/>
      <c r="C621" s="94" t="s">
        <v>13</v>
      </c>
      <c r="D621" s="69">
        <f t="shared" si="332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3" ht="15.75" customHeight="1" x14ac:dyDescent="0.2">
      <c r="A622" s="150" t="s">
        <v>31</v>
      </c>
      <c r="B622" s="146" t="s">
        <v>330</v>
      </c>
      <c r="C622" s="95" t="s">
        <v>7</v>
      </c>
      <c r="D622" s="66">
        <f>E622+F622+G622+H622+I622+J622+K622+L622+M622+N622+O622+W622</f>
        <v>4552004.2620000001</v>
      </c>
      <c r="E622" s="66">
        <f>E623+E624+E626+E629</f>
        <v>228156.69999999998</v>
      </c>
      <c r="F622" s="66">
        <f>F623+F624+F626+F629</f>
        <v>279787.8</v>
      </c>
      <c r="G622" s="66">
        <f t="shared" ref="G622:L622" si="359">SUM(G623:G629)</f>
        <v>257795.10000000003</v>
      </c>
      <c r="H622" s="66">
        <f t="shared" si="359"/>
        <v>267713.5</v>
      </c>
      <c r="I622" s="66">
        <f t="shared" si="359"/>
        <v>352068.4</v>
      </c>
      <c r="J622" s="66">
        <f t="shared" si="359"/>
        <v>478026.3</v>
      </c>
      <c r="K622" s="66">
        <f t="shared" si="359"/>
        <v>781436.36200000008</v>
      </c>
      <c r="L622" s="66">
        <f t="shared" si="359"/>
        <v>562909.5</v>
      </c>
      <c r="M622" s="66">
        <f>M624+M626</f>
        <v>524637.30000000005</v>
      </c>
      <c r="N622" s="66">
        <f>SUM(N623:N629)</f>
        <v>281945.40000000002</v>
      </c>
      <c r="O622" s="66">
        <f>SUM(O623:O629)</f>
        <v>249748.29999999996</v>
      </c>
      <c r="P622" s="58"/>
      <c r="Q622" s="67"/>
      <c r="W622" s="66">
        <f>SUM(W623:W629)</f>
        <v>287779.59999999998</v>
      </c>
    </row>
    <row r="623" spans="1:23" ht="15.75" x14ac:dyDescent="0.2">
      <c r="A623" s="150"/>
      <c r="B623" s="146"/>
      <c r="C623" s="94" t="s">
        <v>10</v>
      </c>
      <c r="D623" s="69">
        <f>E623+F623+G623+H623+I623+J623+K623+L623+M623+N623+O623+W623</f>
        <v>0</v>
      </c>
      <c r="E623" s="69">
        <f>E642+E652+E662+E677+E687+E693</f>
        <v>0</v>
      </c>
      <c r="F623" s="69">
        <f t="shared" ref="F623:O623" si="360">F642+F652+F662+F677+F687+F693</f>
        <v>0</v>
      </c>
      <c r="G623" s="69">
        <f t="shared" si="360"/>
        <v>0</v>
      </c>
      <c r="H623" s="69">
        <f t="shared" si="360"/>
        <v>0</v>
      </c>
      <c r="I623" s="69">
        <f>I642+I652+I662+I677+I687+I693</f>
        <v>0</v>
      </c>
      <c r="J623" s="69">
        <f t="shared" si="360"/>
        <v>0</v>
      </c>
      <c r="K623" s="69">
        <f t="shared" si="360"/>
        <v>0</v>
      </c>
      <c r="L623" s="69">
        <f t="shared" si="360"/>
        <v>0</v>
      </c>
      <c r="M623" s="69">
        <f t="shared" si="360"/>
        <v>0</v>
      </c>
      <c r="N623" s="69">
        <f t="shared" si="360"/>
        <v>0</v>
      </c>
      <c r="O623" s="69">
        <f t="shared" si="360"/>
        <v>0</v>
      </c>
      <c r="P623" s="60"/>
      <c r="Q623" s="60"/>
      <c r="W623" s="69">
        <f t="shared" ref="W623" si="361">W642+W652+W662+W677+W687+W693</f>
        <v>0</v>
      </c>
    </row>
    <row r="624" spans="1:23" ht="31.5" x14ac:dyDescent="0.2">
      <c r="A624" s="150"/>
      <c r="B624" s="146"/>
      <c r="C624" s="94" t="s">
        <v>69</v>
      </c>
      <c r="D624" s="69">
        <f t="shared" ref="D624:D629" si="362">E624+F624+G624+H624+I624+J624+K624+L624+M624+N624+O624+W624</f>
        <v>1098369</v>
      </c>
      <c r="E624" s="69">
        <f>E632+E765</f>
        <v>0</v>
      </c>
      <c r="F624" s="69">
        <f>F632+F765</f>
        <v>0</v>
      </c>
      <c r="G624" s="69">
        <f>G632+G765</f>
        <v>0</v>
      </c>
      <c r="H624" s="69">
        <f>H632+H765</f>
        <v>0</v>
      </c>
      <c r="I624" s="69">
        <f>I632+I765+I779</f>
        <v>159753.70000000001</v>
      </c>
      <c r="J624" s="69">
        <f>J632+J765+J779</f>
        <v>282920.3</v>
      </c>
      <c r="K624" s="69">
        <f>K632+K765</f>
        <v>368985.2</v>
      </c>
      <c r="L624" s="69">
        <f>L632+L765</f>
        <v>195620.5</v>
      </c>
      <c r="M624" s="69">
        <f>M632+M765</f>
        <v>78922.3</v>
      </c>
      <c r="N624" s="69">
        <f>N632+N765</f>
        <v>12167</v>
      </c>
      <c r="O624" s="69">
        <f>O632+O765</f>
        <v>0</v>
      </c>
      <c r="W624" s="69">
        <f>W632+W765</f>
        <v>0</v>
      </c>
    </row>
    <row r="625" spans="1:23" ht="31.5" x14ac:dyDescent="0.2">
      <c r="A625" s="150"/>
      <c r="B625" s="146"/>
      <c r="C625" s="72" t="s">
        <v>81</v>
      </c>
      <c r="D625" s="71">
        <f t="shared" si="362"/>
        <v>8579.9</v>
      </c>
      <c r="E625" s="71">
        <f t="shared" ref="E625:L625" si="363">E766</f>
        <v>0</v>
      </c>
      <c r="F625" s="71">
        <f t="shared" si="363"/>
        <v>0</v>
      </c>
      <c r="G625" s="71">
        <f t="shared" si="363"/>
        <v>0</v>
      </c>
      <c r="H625" s="71">
        <f t="shared" si="363"/>
        <v>0</v>
      </c>
      <c r="I625" s="71">
        <f t="shared" si="363"/>
        <v>0</v>
      </c>
      <c r="J625" s="71">
        <f t="shared" si="363"/>
        <v>0</v>
      </c>
      <c r="K625" s="71">
        <f t="shared" si="363"/>
        <v>0</v>
      </c>
      <c r="L625" s="71">
        <f t="shared" si="363"/>
        <v>0</v>
      </c>
      <c r="M625" s="71">
        <f>M766</f>
        <v>8579.9</v>
      </c>
      <c r="N625" s="71">
        <f t="shared" ref="N625:O625" si="364">N766</f>
        <v>0</v>
      </c>
      <c r="O625" s="71">
        <f t="shared" si="364"/>
        <v>0</v>
      </c>
      <c r="W625" s="71">
        <f t="shared" ref="W625" si="365">W766</f>
        <v>0</v>
      </c>
    </row>
    <row r="626" spans="1:23" ht="31.5" customHeight="1" x14ac:dyDescent="0.2">
      <c r="A626" s="150"/>
      <c r="B626" s="146"/>
      <c r="C626" s="94" t="s">
        <v>65</v>
      </c>
      <c r="D626" s="69">
        <f t="shared" si="362"/>
        <v>3453635.2620000001</v>
      </c>
      <c r="E626" s="69">
        <f>E633+E767</f>
        <v>228156.69999999998</v>
      </c>
      <c r="F626" s="69">
        <f>F633+F767</f>
        <v>279787.8</v>
      </c>
      <c r="G626" s="69">
        <f>G633+G767</f>
        <v>257795.10000000003</v>
      </c>
      <c r="H626" s="69">
        <f>H633+H767</f>
        <v>267713.5</v>
      </c>
      <c r="I626" s="69">
        <f>I633+I767+I780</f>
        <v>192314.7</v>
      </c>
      <c r="J626" s="69">
        <f>J633+J767+J780</f>
        <v>195106</v>
      </c>
      <c r="K626" s="69">
        <f>K633+K767+K790</f>
        <v>412451.16200000007</v>
      </c>
      <c r="L626" s="69">
        <f>L633+L767+L790</f>
        <v>367289</v>
      </c>
      <c r="M626" s="69">
        <f>M633+M767+M790</f>
        <v>445715.00000000006</v>
      </c>
      <c r="N626" s="69">
        <f>N633+N767+N790</f>
        <v>269778.40000000002</v>
      </c>
      <c r="O626" s="69">
        <f>O633+O767+O790</f>
        <v>249748.29999999996</v>
      </c>
      <c r="W626" s="69">
        <f>W633+W767+W790</f>
        <v>287779.59999999998</v>
      </c>
    </row>
    <row r="627" spans="1:23" ht="31.5" x14ac:dyDescent="0.2">
      <c r="A627" s="150"/>
      <c r="B627" s="146"/>
      <c r="C627" s="74" t="s">
        <v>79</v>
      </c>
      <c r="D627" s="69">
        <f t="shared" si="362"/>
        <v>59050</v>
      </c>
      <c r="E627" s="71">
        <f>E634</f>
        <v>30550</v>
      </c>
      <c r="F627" s="71">
        <f>F696</f>
        <v>28500</v>
      </c>
      <c r="G627" s="71">
        <f>G696</f>
        <v>0</v>
      </c>
      <c r="H627" s="71">
        <f>H696</f>
        <v>0</v>
      </c>
      <c r="I627" s="71">
        <f>I696</f>
        <v>0</v>
      </c>
      <c r="J627" s="69">
        <f t="shared" ref="J627:O627" si="366">J645+J655+J665+J680+J690+J696</f>
        <v>0</v>
      </c>
      <c r="K627" s="69">
        <f t="shared" si="366"/>
        <v>0</v>
      </c>
      <c r="L627" s="69">
        <f t="shared" si="366"/>
        <v>0</v>
      </c>
      <c r="M627" s="71">
        <f>M634</f>
        <v>0</v>
      </c>
      <c r="N627" s="69">
        <f t="shared" si="366"/>
        <v>0</v>
      </c>
      <c r="O627" s="69">
        <f t="shared" si="366"/>
        <v>0</v>
      </c>
      <c r="W627" s="69">
        <f t="shared" ref="W627" si="367">W645+W655+W665+W680+W690+W696</f>
        <v>0</v>
      </c>
    </row>
    <row r="628" spans="1:23" ht="31.5" x14ac:dyDescent="0.2">
      <c r="A628" s="150"/>
      <c r="B628" s="146"/>
      <c r="C628" s="72" t="s">
        <v>448</v>
      </c>
      <c r="D628" s="69">
        <f t="shared" si="362"/>
        <v>547.70000000000005</v>
      </c>
      <c r="E628" s="71">
        <f t="shared" ref="E628:L628" si="368">E768</f>
        <v>0</v>
      </c>
      <c r="F628" s="71">
        <f t="shared" si="368"/>
        <v>0</v>
      </c>
      <c r="G628" s="71">
        <f t="shared" si="368"/>
        <v>0</v>
      </c>
      <c r="H628" s="71">
        <f t="shared" si="368"/>
        <v>0</v>
      </c>
      <c r="I628" s="71">
        <f t="shared" si="368"/>
        <v>0</v>
      </c>
      <c r="J628" s="71">
        <f t="shared" si="368"/>
        <v>0</v>
      </c>
      <c r="K628" s="71">
        <f t="shared" si="368"/>
        <v>0</v>
      </c>
      <c r="L628" s="71">
        <f t="shared" si="368"/>
        <v>0</v>
      </c>
      <c r="M628" s="71">
        <f>M768</f>
        <v>547.70000000000005</v>
      </c>
      <c r="N628" s="71">
        <f t="shared" ref="N628:O628" si="369">N768</f>
        <v>0</v>
      </c>
      <c r="O628" s="71">
        <f t="shared" si="369"/>
        <v>0</v>
      </c>
      <c r="W628" s="71">
        <f t="shared" ref="W628" si="370">W768</f>
        <v>0</v>
      </c>
    </row>
    <row r="629" spans="1:23" ht="31.5" customHeight="1" x14ac:dyDescent="0.2">
      <c r="A629" s="150"/>
      <c r="B629" s="146"/>
      <c r="C629" s="94" t="s">
        <v>13</v>
      </c>
      <c r="D629" s="69">
        <f t="shared" si="362"/>
        <v>0</v>
      </c>
      <c r="E629" s="69">
        <f>E645+E655+E665+E680+E691+E697</f>
        <v>0</v>
      </c>
      <c r="F629" s="69">
        <f>F645+F655+F665+F680+F691+F697</f>
        <v>0</v>
      </c>
      <c r="G629" s="69">
        <f>G645+G655+G665+G680+G691+G697</f>
        <v>0</v>
      </c>
      <c r="H629" s="69">
        <v>0</v>
      </c>
      <c r="I629" s="69">
        <f t="shared" ref="I629:O629" si="371">I645+I655+I665+I680+I691+I697</f>
        <v>0</v>
      </c>
      <c r="J629" s="69">
        <f t="shared" si="371"/>
        <v>0</v>
      </c>
      <c r="K629" s="69">
        <f t="shared" si="371"/>
        <v>0</v>
      </c>
      <c r="L629" s="69">
        <f t="shared" si="371"/>
        <v>0</v>
      </c>
      <c r="M629" s="69">
        <f t="shared" si="371"/>
        <v>0</v>
      </c>
      <c r="N629" s="69">
        <f t="shared" si="371"/>
        <v>0</v>
      </c>
      <c r="O629" s="69">
        <f t="shared" si="371"/>
        <v>0</v>
      </c>
      <c r="W629" s="69">
        <f t="shared" ref="W629" si="372">W645+W655+W665+W680+W691+W697</f>
        <v>0</v>
      </c>
    </row>
    <row r="630" spans="1:23" ht="15.75" x14ac:dyDescent="0.2">
      <c r="A630" s="140" t="s">
        <v>34</v>
      </c>
      <c r="B630" s="140" t="s">
        <v>122</v>
      </c>
      <c r="C630" s="94" t="s">
        <v>7</v>
      </c>
      <c r="D630" s="69">
        <f t="shared" ref="D630:D635" si="373">E630+F630+G630+H630+I630+J630+K630+L630+M630+N630+O630</f>
        <v>3162914.0620000004</v>
      </c>
      <c r="E630" s="69">
        <f t="shared" ref="E630:O630" si="374">E631+E632+E633+E635</f>
        <v>228156.69999999998</v>
      </c>
      <c r="F630" s="69">
        <f t="shared" si="374"/>
        <v>279787.8</v>
      </c>
      <c r="G630" s="69">
        <f t="shared" si="374"/>
        <v>257795.10000000003</v>
      </c>
      <c r="H630" s="69">
        <f t="shared" si="374"/>
        <v>267713.5</v>
      </c>
      <c r="I630" s="69">
        <f t="shared" si="374"/>
        <v>299568.40000000002</v>
      </c>
      <c r="J630" s="69">
        <f t="shared" si="374"/>
        <v>249909.09999999998</v>
      </c>
      <c r="K630" s="69">
        <f t="shared" si="374"/>
        <v>373970.76200000005</v>
      </c>
      <c r="L630" s="69">
        <f t="shared" si="374"/>
        <v>348526.2</v>
      </c>
      <c r="M630" s="69">
        <f>M631+M632+M633+M635</f>
        <v>396204.00000000006</v>
      </c>
      <c r="N630" s="69">
        <f t="shared" si="374"/>
        <v>240268</v>
      </c>
      <c r="O630" s="69">
        <f t="shared" si="374"/>
        <v>221014.49999999997</v>
      </c>
      <c r="P630" s="58"/>
      <c r="Q630" s="67"/>
      <c r="W630" s="69">
        <f t="shared" ref="W630" si="375">W631+W632+W633+W635</f>
        <v>259045.8</v>
      </c>
    </row>
    <row r="631" spans="1:23" ht="18" customHeight="1" x14ac:dyDescent="0.2">
      <c r="A631" s="141"/>
      <c r="B631" s="142"/>
      <c r="C631" s="94" t="s">
        <v>10</v>
      </c>
      <c r="D631" s="69">
        <f t="shared" si="373"/>
        <v>0</v>
      </c>
      <c r="E631" s="69">
        <f t="shared" ref="E631:O631" si="376">E642+E652+E662+E677+E687+E693</f>
        <v>0</v>
      </c>
      <c r="F631" s="69">
        <f t="shared" si="376"/>
        <v>0</v>
      </c>
      <c r="G631" s="69">
        <f t="shared" si="376"/>
        <v>0</v>
      </c>
      <c r="H631" s="69">
        <f t="shared" si="376"/>
        <v>0</v>
      </c>
      <c r="I631" s="69">
        <f t="shared" si="376"/>
        <v>0</v>
      </c>
      <c r="J631" s="69">
        <f t="shared" si="376"/>
        <v>0</v>
      </c>
      <c r="K631" s="69">
        <f t="shared" si="376"/>
        <v>0</v>
      </c>
      <c r="L631" s="69">
        <f t="shared" si="376"/>
        <v>0</v>
      </c>
      <c r="M631" s="69">
        <f t="shared" si="376"/>
        <v>0</v>
      </c>
      <c r="N631" s="69">
        <f t="shared" si="376"/>
        <v>0</v>
      </c>
      <c r="O631" s="69">
        <f t="shared" si="376"/>
        <v>0</v>
      </c>
      <c r="W631" s="69">
        <f t="shared" ref="W631" si="377">W642+W652+W662+W677+W687+W693</f>
        <v>0</v>
      </c>
    </row>
    <row r="632" spans="1:23" ht="16.5" customHeight="1" x14ac:dyDescent="0.2">
      <c r="A632" s="141"/>
      <c r="B632" s="142"/>
      <c r="C632" s="94" t="s">
        <v>11</v>
      </c>
      <c r="D632" s="69">
        <f t="shared" si="373"/>
        <v>178807.9</v>
      </c>
      <c r="E632" s="69">
        <f>E643+E653+E663+E678+E688+E694+E648+E658+E668+E673+E683+E700+E765</f>
        <v>0</v>
      </c>
      <c r="F632" s="69">
        <f>F643+F653+F663+F678+F688+F694+F648+F658+F668+F673+F683+F700+F765</f>
        <v>0</v>
      </c>
      <c r="G632" s="69">
        <f>G643+G653+G663+G678+G688+G694+G648+G658+G668+G673+G683+G700+G765</f>
        <v>0</v>
      </c>
      <c r="H632" s="69">
        <f>H643+H653+H663+H678+H688+H694+H648+H658+H668+H673+H683+H700+H765</f>
        <v>0</v>
      </c>
      <c r="I632" s="69">
        <f t="shared" ref="I632:O632" si="378">I643+I653+I663+I678+I688+I694+I648+I658+I668+I673+I683+I700</f>
        <v>109753.7</v>
      </c>
      <c r="J632" s="69">
        <f t="shared" si="378"/>
        <v>69054.2</v>
      </c>
      <c r="K632" s="69">
        <f t="shared" si="378"/>
        <v>0</v>
      </c>
      <c r="L632" s="69">
        <f t="shared" si="378"/>
        <v>0</v>
      </c>
      <c r="M632" s="69">
        <f>M740</f>
        <v>0</v>
      </c>
      <c r="N632" s="69">
        <f>N745</f>
        <v>0</v>
      </c>
      <c r="O632" s="69">
        <f t="shared" si="378"/>
        <v>0</v>
      </c>
      <c r="W632" s="69">
        <f t="shared" ref="W632" si="379">W643+W653+W663+W678+W688+W694+W648+W658+W668+W673+W683+W700</f>
        <v>0</v>
      </c>
    </row>
    <row r="633" spans="1:23" ht="31.5" x14ac:dyDescent="0.2">
      <c r="A633" s="141"/>
      <c r="B633" s="142"/>
      <c r="C633" s="94" t="s">
        <v>65</v>
      </c>
      <c r="D633" s="69">
        <f t="shared" si="373"/>
        <v>2984106.162</v>
      </c>
      <c r="E633" s="69">
        <f>E639+E644+E654+E659+E664+E674+E679+E689+E695+E701++E684+E767+E706</f>
        <v>228156.69999999998</v>
      </c>
      <c r="F633" s="69">
        <f>F639+F644+F654+F659+F664+F674+F679+F689+F695+F701++F684+F767+F706</f>
        <v>279787.8</v>
      </c>
      <c r="G633" s="69">
        <f>G639+G644+G654+G659+G664+G674+G679+G689+G695+G701++G684+G767+G706</f>
        <v>257795.10000000003</v>
      </c>
      <c r="H633" s="69">
        <f>H639+H644+H654+H659+H664+H674+H679+H689+H695+H701++H684+H767+H706</f>
        <v>267713.5</v>
      </c>
      <c r="I633" s="69">
        <f>I639+I644+I654+I659+I664+I674+I679+I689+I695+I701++I684+I706</f>
        <v>189814.7</v>
      </c>
      <c r="J633" s="69">
        <f>J639+J644+J654+J659+J664+J674+J679+J689+J695+J701++J684+J706</f>
        <v>180854.9</v>
      </c>
      <c r="K633" s="69">
        <f>K639+K644+K654+K659+K664+K674+K679+K689+K695+K701++K684+K706+K711+K716+K721+K726+K731</f>
        <v>373970.76200000005</v>
      </c>
      <c r="L633" s="69">
        <f>L639+L644+L654+L659+L664+L674+L679+L689+L695+L701++L684+L706+L711+L716+L721+L726+L731+L736</f>
        <v>348526.2</v>
      </c>
      <c r="M633" s="69">
        <f>M639+M644+M654+M659+M664+M674+M679+M689+M695+M701++M684+M706+M711+M716+M721+M726+M731+M736+M741+M751+M756</f>
        <v>396204.00000000006</v>
      </c>
      <c r="N633" s="69">
        <f>N639+N644+N654+N659+N664+N674+N679+N689+N695+N701++N684+N706+N711+N716+N721+N726+N731+N736+N761</f>
        <v>240268</v>
      </c>
      <c r="O633" s="69">
        <f>O639+O644+O654+O659+O664+O674+O679+O689+O695+O701++O684+O706+O711+O716+O721+O726+O731+O736</f>
        <v>221014.49999999997</v>
      </c>
      <c r="W633" s="69">
        <f>W639+W644+W654+W659+W664+W674+W679+W689+W695+W701++W684+W706+W711+W716+W721+W726+W731+W736</f>
        <v>259045.8</v>
      </c>
    </row>
    <row r="634" spans="1:23" ht="31.5" x14ac:dyDescent="0.2">
      <c r="A634" s="141"/>
      <c r="B634" s="142"/>
      <c r="C634" s="74" t="s">
        <v>79</v>
      </c>
      <c r="D634" s="71">
        <f t="shared" si="373"/>
        <v>59050</v>
      </c>
      <c r="E634" s="71">
        <f>E696+E690</f>
        <v>30550</v>
      </c>
      <c r="F634" s="71">
        <f>F696+F690</f>
        <v>28500</v>
      </c>
      <c r="G634" s="71">
        <f>G696+G690</f>
        <v>0</v>
      </c>
      <c r="H634" s="71">
        <f>H696+H690</f>
        <v>0</v>
      </c>
      <c r="I634" s="71">
        <f>I696+I690</f>
        <v>0</v>
      </c>
      <c r="J634" s="69">
        <f t="shared" ref="J634:O634" si="380">J645+J655+J665+J680+J690+J696</f>
        <v>0</v>
      </c>
      <c r="K634" s="69">
        <f t="shared" si="380"/>
        <v>0</v>
      </c>
      <c r="L634" s="69">
        <f t="shared" si="380"/>
        <v>0</v>
      </c>
      <c r="M634" s="69">
        <f t="shared" si="380"/>
        <v>0</v>
      </c>
      <c r="N634" s="69">
        <f t="shared" si="380"/>
        <v>0</v>
      </c>
      <c r="O634" s="69">
        <f t="shared" si="380"/>
        <v>0</v>
      </c>
      <c r="W634" s="69">
        <f t="shared" ref="W634" si="381">W645+W655+W665+W680+W690+W696</f>
        <v>0</v>
      </c>
    </row>
    <row r="635" spans="1:23" ht="36" customHeight="1" x14ac:dyDescent="0.2">
      <c r="A635" s="141"/>
      <c r="B635" s="142"/>
      <c r="C635" s="94" t="s">
        <v>13</v>
      </c>
      <c r="D635" s="69">
        <f t="shared" si="373"/>
        <v>0</v>
      </c>
      <c r="E635" s="69">
        <f>E655+E665+E680+E691+E697</f>
        <v>0</v>
      </c>
      <c r="F635" s="69">
        <f>F655+F665+F680+F691+F697</f>
        <v>0</v>
      </c>
      <c r="G635" s="69">
        <f>G655+G665+G680+G691+G697</f>
        <v>0</v>
      </c>
      <c r="H635" s="69">
        <f>H655+H665+H680+H691+H697</f>
        <v>0</v>
      </c>
      <c r="I635" s="69">
        <f>I655+I665+I680+I691+I697</f>
        <v>0</v>
      </c>
      <c r="J635" s="69">
        <v>0</v>
      </c>
      <c r="K635" s="69">
        <v>0</v>
      </c>
      <c r="L635" s="69">
        <v>0</v>
      </c>
      <c r="M635" s="69">
        <v>0</v>
      </c>
      <c r="N635" s="69">
        <v>0</v>
      </c>
      <c r="O635" s="69">
        <v>0</v>
      </c>
      <c r="W635" s="69">
        <v>0</v>
      </c>
    </row>
    <row r="636" spans="1:23" ht="15.75" x14ac:dyDescent="0.2">
      <c r="A636" s="140" t="s">
        <v>123</v>
      </c>
      <c r="B636" s="143" t="s">
        <v>152</v>
      </c>
      <c r="C636" s="94" t="s">
        <v>7</v>
      </c>
      <c r="D636" s="69">
        <f>SUM(D637:D640)</f>
        <v>42071.3</v>
      </c>
      <c r="E636" s="69">
        <f t="shared" ref="E636:J636" si="382">SUM(E637:E640)</f>
        <v>42071.3</v>
      </c>
      <c r="F636" s="69">
        <f t="shared" si="382"/>
        <v>0</v>
      </c>
      <c r="G636" s="69">
        <f t="shared" si="382"/>
        <v>0</v>
      </c>
      <c r="H636" s="69">
        <f t="shared" si="382"/>
        <v>0</v>
      </c>
      <c r="I636" s="69">
        <f t="shared" si="382"/>
        <v>0</v>
      </c>
      <c r="J636" s="69">
        <f t="shared" si="382"/>
        <v>0</v>
      </c>
      <c r="K636" s="69">
        <v>0</v>
      </c>
      <c r="L636" s="69">
        <f>SUM(L637:L640)</f>
        <v>0</v>
      </c>
      <c r="M636" s="69">
        <f>SUM(M637:M640)</f>
        <v>0</v>
      </c>
      <c r="N636" s="69">
        <f>SUM(N637:N640)</f>
        <v>0</v>
      </c>
      <c r="O636" s="69">
        <v>0</v>
      </c>
      <c r="W636" s="69">
        <v>0</v>
      </c>
    </row>
    <row r="637" spans="1:23" ht="18.75" customHeight="1" x14ac:dyDescent="0.2">
      <c r="A637" s="141"/>
      <c r="B637" s="143"/>
      <c r="C637" s="94" t="s">
        <v>10</v>
      </c>
      <c r="D637" s="69">
        <v>0</v>
      </c>
      <c r="E637" s="69">
        <v>0</v>
      </c>
      <c r="F637" s="69">
        <v>0</v>
      </c>
      <c r="G637" s="69">
        <v>0</v>
      </c>
      <c r="H637" s="69">
        <v>0</v>
      </c>
      <c r="I637" s="69">
        <v>0</v>
      </c>
      <c r="J637" s="69">
        <v>0</v>
      </c>
      <c r="K637" s="69">
        <v>0</v>
      </c>
      <c r="L637" s="69">
        <v>0</v>
      </c>
      <c r="M637" s="69">
        <v>0</v>
      </c>
      <c r="N637" s="69">
        <v>0</v>
      </c>
      <c r="O637" s="69">
        <v>0</v>
      </c>
      <c r="W637" s="69">
        <v>0</v>
      </c>
    </row>
    <row r="638" spans="1:23" ht="17.25" customHeight="1" x14ac:dyDescent="0.2">
      <c r="A638" s="141"/>
      <c r="B638" s="143"/>
      <c r="C638" s="94" t="s">
        <v>11</v>
      </c>
      <c r="D638" s="83">
        <v>0</v>
      </c>
      <c r="E638" s="83">
        <v>0</v>
      </c>
      <c r="F638" s="83">
        <v>0</v>
      </c>
      <c r="G638" s="83">
        <v>0</v>
      </c>
      <c r="H638" s="83">
        <v>0</v>
      </c>
      <c r="I638" s="83">
        <v>0</v>
      </c>
      <c r="J638" s="83">
        <v>0</v>
      </c>
      <c r="K638" s="83">
        <v>0</v>
      </c>
      <c r="L638" s="83">
        <v>0</v>
      </c>
      <c r="M638" s="83">
        <v>0</v>
      </c>
      <c r="N638" s="83">
        <v>0</v>
      </c>
      <c r="O638" s="83">
        <v>0</v>
      </c>
      <c r="W638" s="83">
        <v>0</v>
      </c>
    </row>
    <row r="639" spans="1:23" ht="17.25" customHeight="1" x14ac:dyDescent="0.2">
      <c r="A639" s="141"/>
      <c r="B639" s="143"/>
      <c r="C639" s="94" t="s">
        <v>12</v>
      </c>
      <c r="D639" s="69">
        <f>SUM(E639:J639)</f>
        <v>42071.3</v>
      </c>
      <c r="E639" s="69">
        <v>42071.3</v>
      </c>
      <c r="F639" s="69">
        <v>0</v>
      </c>
      <c r="G639" s="69">
        <v>0</v>
      </c>
      <c r="H639" s="69">
        <v>0</v>
      </c>
      <c r="I639" s="69">
        <v>0</v>
      </c>
      <c r="J639" s="69">
        <v>0</v>
      </c>
      <c r="K639" s="69">
        <v>0</v>
      </c>
      <c r="L639" s="69">
        <v>0</v>
      </c>
      <c r="M639" s="69">
        <v>0</v>
      </c>
      <c r="N639" s="69">
        <v>0</v>
      </c>
      <c r="O639" s="69">
        <v>0</v>
      </c>
      <c r="W639" s="69">
        <v>0</v>
      </c>
    </row>
    <row r="640" spans="1:23" ht="25.5" customHeight="1" x14ac:dyDescent="0.2">
      <c r="A640" s="141"/>
      <c r="B640" s="143"/>
      <c r="C640" s="94" t="s">
        <v>13</v>
      </c>
      <c r="D640" s="69">
        <f>E640+F640+G640+H640+I640+J640</f>
        <v>0</v>
      </c>
      <c r="E640" s="69">
        <v>0</v>
      </c>
      <c r="F640" s="69">
        <v>0</v>
      </c>
      <c r="G640" s="69">
        <v>0</v>
      </c>
      <c r="H640" s="69">
        <v>0</v>
      </c>
      <c r="I640" s="69">
        <v>0</v>
      </c>
      <c r="J640" s="69">
        <v>0</v>
      </c>
      <c r="K640" s="69">
        <v>0</v>
      </c>
      <c r="L640" s="69">
        <v>0</v>
      </c>
      <c r="M640" s="69">
        <v>0</v>
      </c>
      <c r="N640" s="69">
        <v>0</v>
      </c>
      <c r="O640" s="69">
        <v>0</v>
      </c>
      <c r="W640" s="69">
        <v>0</v>
      </c>
    </row>
    <row r="641" spans="1:23" ht="15.75" customHeight="1" x14ac:dyDescent="0.2">
      <c r="A641" s="140" t="s">
        <v>124</v>
      </c>
      <c r="B641" s="143" t="s">
        <v>135</v>
      </c>
      <c r="C641" s="94" t="s">
        <v>7</v>
      </c>
      <c r="D641" s="69">
        <f>E641+F641+G641+H641+I641+J641+K641+L641+M641+N641+O641</f>
        <v>224030.40000000002</v>
      </c>
      <c r="E641" s="69">
        <f t="shared" ref="E641:O641" si="383">SUM(E642:E645)</f>
        <v>0</v>
      </c>
      <c r="F641" s="69">
        <f t="shared" si="383"/>
        <v>52211</v>
      </c>
      <c r="G641" s="69">
        <f t="shared" si="383"/>
        <v>40056.800000000003</v>
      </c>
      <c r="H641" s="69">
        <f t="shared" si="383"/>
        <v>54812.9</v>
      </c>
      <c r="I641" s="69">
        <f t="shared" si="383"/>
        <v>33448.6</v>
      </c>
      <c r="J641" s="69">
        <f t="shared" si="383"/>
        <v>10688.6</v>
      </c>
      <c r="K641" s="69">
        <f t="shared" si="383"/>
        <v>32812.5</v>
      </c>
      <c r="L641" s="69">
        <f t="shared" si="383"/>
        <v>0</v>
      </c>
      <c r="M641" s="69">
        <f t="shared" si="383"/>
        <v>0</v>
      </c>
      <c r="N641" s="69">
        <f t="shared" si="383"/>
        <v>0</v>
      </c>
      <c r="O641" s="69">
        <f t="shared" si="383"/>
        <v>0</v>
      </c>
      <c r="W641" s="69">
        <f t="shared" ref="W641" si="384">SUM(W642:W645)</f>
        <v>0</v>
      </c>
    </row>
    <row r="642" spans="1:23" ht="15.75" customHeight="1" x14ac:dyDescent="0.2">
      <c r="A642" s="141"/>
      <c r="B642" s="143"/>
      <c r="C642" s="94" t="s">
        <v>10</v>
      </c>
      <c r="D642" s="69">
        <f t="shared" ref="D642:D765" si="385">E642+F642+G642+H642+I642+J642+K642+L642+M642+N642+O642</f>
        <v>0</v>
      </c>
      <c r="E642" s="69">
        <v>0</v>
      </c>
      <c r="F642" s="69">
        <v>0</v>
      </c>
      <c r="G642" s="69">
        <v>0</v>
      </c>
      <c r="H642" s="69">
        <v>0</v>
      </c>
      <c r="I642" s="69">
        <v>0</v>
      </c>
      <c r="J642" s="69">
        <v>0</v>
      </c>
      <c r="K642" s="69">
        <v>0</v>
      </c>
      <c r="L642" s="69">
        <v>0</v>
      </c>
      <c r="M642" s="69">
        <v>0</v>
      </c>
      <c r="N642" s="69">
        <v>0</v>
      </c>
      <c r="O642" s="69">
        <v>0</v>
      </c>
      <c r="W642" s="69">
        <v>0</v>
      </c>
    </row>
    <row r="643" spans="1:23" ht="15.75" customHeight="1" x14ac:dyDescent="0.2">
      <c r="A643" s="141"/>
      <c r="B643" s="143"/>
      <c r="C643" s="94" t="s">
        <v>11</v>
      </c>
      <c r="D643" s="69">
        <f t="shared" si="385"/>
        <v>0</v>
      </c>
      <c r="E643" s="83">
        <v>0</v>
      </c>
      <c r="F643" s="83">
        <v>0</v>
      </c>
      <c r="G643" s="83">
        <v>0</v>
      </c>
      <c r="H643" s="83">
        <v>0</v>
      </c>
      <c r="I643" s="83">
        <v>0</v>
      </c>
      <c r="J643" s="83">
        <v>0</v>
      </c>
      <c r="K643" s="83">
        <v>0</v>
      </c>
      <c r="L643" s="83">
        <v>0</v>
      </c>
      <c r="M643" s="83">
        <v>0</v>
      </c>
      <c r="N643" s="83">
        <v>0</v>
      </c>
      <c r="O643" s="83">
        <v>0</v>
      </c>
      <c r="W643" s="83">
        <v>0</v>
      </c>
    </row>
    <row r="644" spans="1:23" ht="15.75" customHeight="1" x14ac:dyDescent="0.2">
      <c r="A644" s="141"/>
      <c r="B644" s="143"/>
      <c r="C644" s="94" t="s">
        <v>12</v>
      </c>
      <c r="D644" s="69">
        <f t="shared" si="385"/>
        <v>224030.40000000002</v>
      </c>
      <c r="E644" s="69">
        <v>0</v>
      </c>
      <c r="F644" s="69">
        <v>52211</v>
      </c>
      <c r="G644" s="69">
        <v>40056.800000000003</v>
      </c>
      <c r="H644" s="69">
        <v>54812.9</v>
      </c>
      <c r="I644" s="69">
        <f>33108.6+340</f>
        <v>33448.6</v>
      </c>
      <c r="J644" s="69">
        <f>10688.6-0.1+0.1</f>
        <v>10688.6</v>
      </c>
      <c r="K644" s="69">
        <f>33518.8-706.3</f>
        <v>32812.5</v>
      </c>
      <c r="L644" s="69">
        <v>0</v>
      </c>
      <c r="M644" s="69">
        <v>0</v>
      </c>
      <c r="N644" s="69">
        <v>0</v>
      </c>
      <c r="O644" s="69">
        <v>0</v>
      </c>
      <c r="W644" s="69">
        <v>0</v>
      </c>
    </row>
    <row r="645" spans="1:23" ht="25.5" customHeight="1" x14ac:dyDescent="0.2">
      <c r="A645" s="141"/>
      <c r="B645" s="143"/>
      <c r="C645" s="94" t="s">
        <v>13</v>
      </c>
      <c r="D645" s="69">
        <f t="shared" si="385"/>
        <v>0</v>
      </c>
      <c r="E645" s="69">
        <v>0</v>
      </c>
      <c r="F645" s="69">
        <v>0</v>
      </c>
      <c r="G645" s="69">
        <v>0</v>
      </c>
      <c r="H645" s="69">
        <v>0</v>
      </c>
      <c r="I645" s="69">
        <v>0</v>
      </c>
      <c r="J645" s="69">
        <v>0</v>
      </c>
      <c r="K645" s="69">
        <v>0</v>
      </c>
      <c r="L645" s="69">
        <v>0</v>
      </c>
      <c r="M645" s="69">
        <v>0</v>
      </c>
      <c r="N645" s="69">
        <v>0</v>
      </c>
      <c r="O645" s="69">
        <v>0</v>
      </c>
      <c r="W645" s="69">
        <v>0</v>
      </c>
    </row>
    <row r="646" spans="1:23" ht="24" customHeight="1" x14ac:dyDescent="0.2">
      <c r="A646" s="140" t="s">
        <v>125</v>
      </c>
      <c r="B646" s="143" t="s">
        <v>265</v>
      </c>
      <c r="C646" s="94" t="s">
        <v>7</v>
      </c>
      <c r="D646" s="69">
        <f t="shared" si="385"/>
        <v>54854.5</v>
      </c>
      <c r="E646" s="69">
        <f t="shared" ref="E646:O646" si="386">SUM(E647:E650)</f>
        <v>0</v>
      </c>
      <c r="F646" s="69">
        <f t="shared" si="386"/>
        <v>0</v>
      </c>
      <c r="G646" s="69">
        <f t="shared" si="386"/>
        <v>0</v>
      </c>
      <c r="H646" s="69">
        <f t="shared" si="386"/>
        <v>0</v>
      </c>
      <c r="I646" s="69">
        <f t="shared" si="386"/>
        <v>26485.599999999999</v>
      </c>
      <c r="J646" s="69">
        <f t="shared" si="386"/>
        <v>28368.9</v>
      </c>
      <c r="K646" s="69">
        <f t="shared" si="386"/>
        <v>0</v>
      </c>
      <c r="L646" s="69">
        <f t="shared" si="386"/>
        <v>0</v>
      </c>
      <c r="M646" s="69">
        <f t="shared" si="386"/>
        <v>0</v>
      </c>
      <c r="N646" s="69">
        <f t="shared" si="386"/>
        <v>0</v>
      </c>
      <c r="O646" s="69">
        <f t="shared" si="386"/>
        <v>0</v>
      </c>
      <c r="W646" s="69">
        <f t="shared" ref="W646" si="387">SUM(W647:W650)</f>
        <v>0</v>
      </c>
    </row>
    <row r="647" spans="1:23" ht="24" customHeight="1" x14ac:dyDescent="0.2">
      <c r="A647" s="141"/>
      <c r="B647" s="143"/>
      <c r="C647" s="94" t="s">
        <v>10</v>
      </c>
      <c r="D647" s="69">
        <f t="shared" si="385"/>
        <v>0</v>
      </c>
      <c r="E647" s="69">
        <v>0</v>
      </c>
      <c r="F647" s="69">
        <v>0</v>
      </c>
      <c r="G647" s="69">
        <v>0</v>
      </c>
      <c r="H647" s="69">
        <v>0</v>
      </c>
      <c r="I647" s="69">
        <v>0</v>
      </c>
      <c r="J647" s="69">
        <v>0</v>
      </c>
      <c r="K647" s="69">
        <v>0</v>
      </c>
      <c r="L647" s="69">
        <v>0</v>
      </c>
      <c r="M647" s="69">
        <v>0</v>
      </c>
      <c r="N647" s="69">
        <v>0</v>
      </c>
      <c r="O647" s="69">
        <v>0</v>
      </c>
      <c r="W647" s="69">
        <v>0</v>
      </c>
    </row>
    <row r="648" spans="1:23" ht="24" customHeight="1" x14ac:dyDescent="0.2">
      <c r="A648" s="141"/>
      <c r="B648" s="143"/>
      <c r="C648" s="94" t="s">
        <v>11</v>
      </c>
      <c r="D648" s="69">
        <f t="shared" si="385"/>
        <v>54854.5</v>
      </c>
      <c r="E648" s="83">
        <v>0</v>
      </c>
      <c r="F648" s="83">
        <v>0</v>
      </c>
      <c r="G648" s="83">
        <v>0</v>
      </c>
      <c r="H648" s="83">
        <v>0</v>
      </c>
      <c r="I648" s="83">
        <v>26485.599999999999</v>
      </c>
      <c r="J648" s="83">
        <f>39057.5-10688.6</f>
        <v>28368.9</v>
      </c>
      <c r="K648" s="83">
        <v>0</v>
      </c>
      <c r="L648" s="83">
        <v>0</v>
      </c>
      <c r="M648" s="83">
        <v>0</v>
      </c>
      <c r="N648" s="83">
        <v>0</v>
      </c>
      <c r="O648" s="83">
        <v>0</v>
      </c>
      <c r="W648" s="83">
        <v>0</v>
      </c>
    </row>
    <row r="649" spans="1:23" ht="24" customHeight="1" x14ac:dyDescent="0.2">
      <c r="A649" s="141"/>
      <c r="B649" s="143"/>
      <c r="C649" s="94" t="s">
        <v>12</v>
      </c>
      <c r="D649" s="69">
        <f t="shared" si="385"/>
        <v>0</v>
      </c>
      <c r="E649" s="69">
        <v>0</v>
      </c>
      <c r="F649" s="69">
        <v>0</v>
      </c>
      <c r="G649" s="69">
        <v>0</v>
      </c>
      <c r="H649" s="69">
        <v>0</v>
      </c>
      <c r="I649" s="69">
        <v>0</v>
      </c>
      <c r="J649" s="69">
        <v>0</v>
      </c>
      <c r="K649" s="69">
        <v>0</v>
      </c>
      <c r="L649" s="69">
        <v>0</v>
      </c>
      <c r="M649" s="69">
        <v>0</v>
      </c>
      <c r="N649" s="69">
        <v>0</v>
      </c>
      <c r="O649" s="69">
        <v>0</v>
      </c>
      <c r="W649" s="69">
        <v>0</v>
      </c>
    </row>
    <row r="650" spans="1:23" ht="24" customHeight="1" x14ac:dyDescent="0.2">
      <c r="A650" s="141"/>
      <c r="B650" s="143"/>
      <c r="C650" s="94" t="s">
        <v>13</v>
      </c>
      <c r="D650" s="69">
        <f t="shared" si="385"/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5">
      <c r="A651" s="140" t="s">
        <v>126</v>
      </c>
      <c r="B651" s="143" t="s">
        <v>44</v>
      </c>
      <c r="C651" s="87" t="s">
        <v>7</v>
      </c>
      <c r="D651" s="69">
        <f t="shared" si="385"/>
        <v>458984.89999999997</v>
      </c>
      <c r="E651" s="83">
        <f t="shared" ref="E651:O651" si="388">E652+E653+E654+E655</f>
        <v>47997.7</v>
      </c>
      <c r="F651" s="83">
        <f t="shared" si="388"/>
        <v>54818</v>
      </c>
      <c r="G651" s="83">
        <f>G652+G653+G654+G655</f>
        <v>75015.600000000006</v>
      </c>
      <c r="H651" s="83">
        <f t="shared" si="388"/>
        <v>70853</v>
      </c>
      <c r="I651" s="83">
        <f t="shared" si="388"/>
        <v>74592.900000000009</v>
      </c>
      <c r="J651" s="83">
        <f t="shared" si="388"/>
        <v>77207.3</v>
      </c>
      <c r="K651" s="83">
        <f t="shared" si="388"/>
        <v>53504.3</v>
      </c>
      <c r="L651" s="83">
        <f t="shared" si="388"/>
        <v>1605.8</v>
      </c>
      <c r="M651" s="83">
        <f t="shared" si="388"/>
        <v>1447.7999999999997</v>
      </c>
      <c r="N651" s="83">
        <f t="shared" si="388"/>
        <v>950.9</v>
      </c>
      <c r="O651" s="83">
        <f t="shared" si="388"/>
        <v>991.6</v>
      </c>
      <c r="W651" s="83">
        <f t="shared" ref="W651" si="389">W652+W653+W654+W655</f>
        <v>1031.4000000000001</v>
      </c>
    </row>
    <row r="652" spans="1:23" ht="15.75" customHeight="1" x14ac:dyDescent="0.2">
      <c r="A652" s="141"/>
      <c r="B652" s="142"/>
      <c r="C652" s="94" t="s">
        <v>10</v>
      </c>
      <c r="D652" s="69">
        <f t="shared" si="385"/>
        <v>0</v>
      </c>
      <c r="E652" s="83">
        <v>0</v>
      </c>
      <c r="F652" s="83">
        <v>0</v>
      </c>
      <c r="G652" s="83">
        <v>0</v>
      </c>
      <c r="H652" s="83">
        <v>0</v>
      </c>
      <c r="I652" s="83">
        <v>0</v>
      </c>
      <c r="J652" s="83">
        <v>0</v>
      </c>
      <c r="K652" s="83">
        <v>0</v>
      </c>
      <c r="L652" s="83">
        <v>0</v>
      </c>
      <c r="M652" s="83">
        <v>0</v>
      </c>
      <c r="N652" s="83">
        <v>0</v>
      </c>
      <c r="O652" s="83">
        <v>0</v>
      </c>
      <c r="W652" s="83">
        <v>0</v>
      </c>
    </row>
    <row r="653" spans="1:23" ht="15.75" customHeight="1" x14ac:dyDescent="0.2">
      <c r="A653" s="141"/>
      <c r="B653" s="142"/>
      <c r="C653" s="94" t="s">
        <v>11</v>
      </c>
      <c r="D653" s="69">
        <f t="shared" si="385"/>
        <v>0</v>
      </c>
      <c r="E653" s="83">
        <v>0</v>
      </c>
      <c r="F653" s="83">
        <v>0</v>
      </c>
      <c r="G653" s="83">
        <v>0</v>
      </c>
      <c r="H653" s="83">
        <v>0</v>
      </c>
      <c r="I653" s="83">
        <v>0</v>
      </c>
      <c r="J653" s="83">
        <v>0</v>
      </c>
      <c r="K653" s="83">
        <v>0</v>
      </c>
      <c r="L653" s="83">
        <v>0</v>
      </c>
      <c r="M653" s="83">
        <v>0</v>
      </c>
      <c r="N653" s="83">
        <v>0</v>
      </c>
      <c r="O653" s="83">
        <v>0</v>
      </c>
      <c r="W653" s="83">
        <v>0</v>
      </c>
    </row>
    <row r="654" spans="1:23" ht="15.75" customHeight="1" x14ac:dyDescent="0.2">
      <c r="A654" s="141"/>
      <c r="B654" s="142"/>
      <c r="C654" s="94" t="s">
        <v>12</v>
      </c>
      <c r="D654" s="69">
        <f t="shared" si="385"/>
        <v>458984.89999999997</v>
      </c>
      <c r="E654" s="83">
        <v>47997.7</v>
      </c>
      <c r="F654" s="83">
        <v>54818</v>
      </c>
      <c r="G654" s="83">
        <v>75015.600000000006</v>
      </c>
      <c r="H654" s="83">
        <v>70853</v>
      </c>
      <c r="I654" s="83">
        <f>74919.3-326.4</f>
        <v>74592.900000000009</v>
      </c>
      <c r="J654" s="83">
        <f>78197.5-990.2</f>
        <v>77207.3</v>
      </c>
      <c r="K654" s="83">
        <f>83504.3-30000</f>
        <v>53504.3</v>
      </c>
      <c r="L654" s="83">
        <f>1664.8-59</f>
        <v>1605.8</v>
      </c>
      <c r="M654" s="83">
        <f>1835.8-1446.2+471.3+70.8+516.1</f>
        <v>1447.7999999999997</v>
      </c>
      <c r="N654" s="83">
        <f>1918.6-1511.1+543.4</f>
        <v>950.9</v>
      </c>
      <c r="O654" s="83">
        <f>1918.6-1511.1+584.1</f>
        <v>991.6</v>
      </c>
      <c r="W654" s="83">
        <v>1031.4000000000001</v>
      </c>
    </row>
    <row r="655" spans="1:23" ht="15.75" customHeight="1" x14ac:dyDescent="0.2">
      <c r="A655" s="141"/>
      <c r="B655" s="142"/>
      <c r="C655" s="94" t="s">
        <v>13</v>
      </c>
      <c r="D655" s="69">
        <f t="shared" si="385"/>
        <v>0</v>
      </c>
      <c r="E655" s="83">
        <v>0</v>
      </c>
      <c r="F655" s="83">
        <v>0</v>
      </c>
      <c r="G655" s="83">
        <v>0</v>
      </c>
      <c r="H655" s="83">
        <v>0</v>
      </c>
      <c r="I655" s="83">
        <v>0</v>
      </c>
      <c r="J655" s="83">
        <v>0</v>
      </c>
      <c r="K655" s="83">
        <v>0</v>
      </c>
      <c r="L655" s="83">
        <v>0</v>
      </c>
      <c r="M655" s="83">
        <v>0</v>
      </c>
      <c r="N655" s="83">
        <v>0</v>
      </c>
      <c r="O655" s="83">
        <v>0</v>
      </c>
      <c r="W655" s="83">
        <v>0</v>
      </c>
    </row>
    <row r="656" spans="1:23" ht="17.25" customHeight="1" x14ac:dyDescent="0.25">
      <c r="A656" s="134" t="s">
        <v>127</v>
      </c>
      <c r="B656" s="140" t="s">
        <v>153</v>
      </c>
      <c r="C656" s="87" t="s">
        <v>7</v>
      </c>
      <c r="D656" s="69">
        <f t="shared" si="385"/>
        <v>25746.6</v>
      </c>
      <c r="E656" s="83">
        <f t="shared" ref="E656:K656" si="390">E657+E658+E659+E660</f>
        <v>25746.6</v>
      </c>
      <c r="F656" s="83">
        <f t="shared" si="390"/>
        <v>0</v>
      </c>
      <c r="G656" s="83">
        <f t="shared" si="390"/>
        <v>0</v>
      </c>
      <c r="H656" s="83">
        <f t="shared" si="390"/>
        <v>0</v>
      </c>
      <c r="I656" s="83">
        <f t="shared" si="390"/>
        <v>0</v>
      </c>
      <c r="J656" s="83">
        <f t="shared" si="390"/>
        <v>0</v>
      </c>
      <c r="K656" s="83">
        <f t="shared" si="390"/>
        <v>0</v>
      </c>
      <c r="L656" s="83">
        <f>L657+L658+L659+L660</f>
        <v>0</v>
      </c>
      <c r="M656" s="83">
        <f>M657+M658+M659+M660</f>
        <v>0</v>
      </c>
      <c r="N656" s="83">
        <f>N657+N658+N659+N660</f>
        <v>0</v>
      </c>
      <c r="O656" s="83">
        <f>O657+O658+O659+O660</f>
        <v>0</v>
      </c>
      <c r="W656" s="83">
        <f>W657+W658+W659+W660</f>
        <v>0</v>
      </c>
    </row>
    <row r="657" spans="1:23" ht="17.25" customHeight="1" x14ac:dyDescent="0.2">
      <c r="A657" s="148"/>
      <c r="B657" s="142"/>
      <c r="C657" s="94" t="s">
        <v>10</v>
      </c>
      <c r="D657" s="69">
        <f t="shared" si="385"/>
        <v>0</v>
      </c>
      <c r="E657" s="83">
        <v>0</v>
      </c>
      <c r="F657" s="83">
        <v>0</v>
      </c>
      <c r="G657" s="83">
        <v>0</v>
      </c>
      <c r="H657" s="83">
        <v>0</v>
      </c>
      <c r="I657" s="83">
        <v>0</v>
      </c>
      <c r="J657" s="83">
        <v>0</v>
      </c>
      <c r="K657" s="83">
        <v>0</v>
      </c>
      <c r="L657" s="83">
        <v>0</v>
      </c>
      <c r="M657" s="83">
        <v>0</v>
      </c>
      <c r="N657" s="83">
        <v>0</v>
      </c>
      <c r="O657" s="83">
        <v>0</v>
      </c>
      <c r="W657" s="83">
        <v>0</v>
      </c>
    </row>
    <row r="658" spans="1:23" ht="18" customHeight="1" x14ac:dyDescent="0.2">
      <c r="A658" s="148"/>
      <c r="B658" s="142"/>
      <c r="C658" s="94" t="s">
        <v>11</v>
      </c>
      <c r="D658" s="69">
        <f t="shared" si="385"/>
        <v>0</v>
      </c>
      <c r="E658" s="83">
        <v>0</v>
      </c>
      <c r="F658" s="83">
        <v>0</v>
      </c>
      <c r="G658" s="83">
        <v>0</v>
      </c>
      <c r="H658" s="83">
        <v>0</v>
      </c>
      <c r="I658" s="83">
        <v>0</v>
      </c>
      <c r="J658" s="83">
        <v>0</v>
      </c>
      <c r="K658" s="83">
        <v>0</v>
      </c>
      <c r="L658" s="83">
        <v>0</v>
      </c>
      <c r="M658" s="83">
        <v>0</v>
      </c>
      <c r="N658" s="83">
        <v>0</v>
      </c>
      <c r="O658" s="83">
        <v>0</v>
      </c>
      <c r="W658" s="83">
        <v>0</v>
      </c>
    </row>
    <row r="659" spans="1:23" ht="15.75" customHeight="1" x14ac:dyDescent="0.2">
      <c r="A659" s="148"/>
      <c r="B659" s="142"/>
      <c r="C659" s="94" t="s">
        <v>12</v>
      </c>
      <c r="D659" s="69">
        <f t="shared" si="385"/>
        <v>25746.6</v>
      </c>
      <c r="E659" s="83">
        <v>25746.6</v>
      </c>
      <c r="F659" s="83">
        <v>0</v>
      </c>
      <c r="G659" s="83">
        <v>0</v>
      </c>
      <c r="H659" s="83">
        <v>0</v>
      </c>
      <c r="I659" s="83">
        <v>0</v>
      </c>
      <c r="J659" s="83">
        <v>0</v>
      </c>
      <c r="K659" s="83">
        <v>0</v>
      </c>
      <c r="L659" s="83">
        <v>0</v>
      </c>
      <c r="M659" s="83">
        <v>0</v>
      </c>
      <c r="N659" s="83">
        <v>0</v>
      </c>
      <c r="O659" s="83">
        <v>0</v>
      </c>
      <c r="W659" s="83">
        <v>0</v>
      </c>
    </row>
    <row r="660" spans="1:23" ht="33.75" customHeight="1" x14ac:dyDescent="0.2">
      <c r="A660" s="149"/>
      <c r="B660" s="142"/>
      <c r="C660" s="94" t="s">
        <v>13</v>
      </c>
      <c r="D660" s="69">
        <f t="shared" si="385"/>
        <v>0</v>
      </c>
      <c r="E660" s="83">
        <v>0</v>
      </c>
      <c r="F660" s="83">
        <v>0</v>
      </c>
      <c r="G660" s="83">
        <v>0</v>
      </c>
      <c r="H660" s="83">
        <v>0</v>
      </c>
      <c r="I660" s="83">
        <v>0</v>
      </c>
      <c r="J660" s="83">
        <v>0</v>
      </c>
      <c r="K660" s="83">
        <v>0</v>
      </c>
      <c r="L660" s="83">
        <v>0</v>
      </c>
      <c r="M660" s="83">
        <v>0</v>
      </c>
      <c r="N660" s="83">
        <v>0</v>
      </c>
      <c r="O660" s="83">
        <v>0</v>
      </c>
      <c r="W660" s="83">
        <v>0</v>
      </c>
    </row>
    <row r="661" spans="1:23" ht="15.75" x14ac:dyDescent="0.2">
      <c r="A661" s="140" t="s">
        <v>128</v>
      </c>
      <c r="B661" s="143" t="s">
        <v>136</v>
      </c>
      <c r="C661" s="84" t="s">
        <v>7</v>
      </c>
      <c r="D661" s="69">
        <f>E661+F661+G661+H661+I661+J661+K661+L661+M661+N661+O661</f>
        <v>331372.2</v>
      </c>
      <c r="E661" s="83">
        <f t="shared" ref="E661:J661" si="391">SUM(E662:E665)</f>
        <v>0</v>
      </c>
      <c r="F661" s="83">
        <f t="shared" si="391"/>
        <v>36667.5</v>
      </c>
      <c r="G661" s="83">
        <f t="shared" si="391"/>
        <v>33267.5</v>
      </c>
      <c r="H661" s="83">
        <f t="shared" si="391"/>
        <v>35169.599999999999</v>
      </c>
      <c r="I661" s="83">
        <f t="shared" si="391"/>
        <v>22060.600000000002</v>
      </c>
      <c r="J661" s="83">
        <f t="shared" si="391"/>
        <v>19768.5</v>
      </c>
      <c r="K661" s="83">
        <f>SUM(K662:K665)</f>
        <v>46323.700000000004</v>
      </c>
      <c r="L661" s="83">
        <f>SUM(L662:L665)</f>
        <v>56144.700000000004</v>
      </c>
      <c r="M661" s="83">
        <f>SUM(M662:M665)</f>
        <v>19834.700000000004</v>
      </c>
      <c r="N661" s="83">
        <f>SUM(N662:N665)</f>
        <v>29818.600000000002</v>
      </c>
      <c r="O661" s="83">
        <f>SUM(O662:O665)</f>
        <v>32316.800000000003</v>
      </c>
      <c r="W661" s="83">
        <f>SUM(W662:W665)</f>
        <v>32316.799999999999</v>
      </c>
    </row>
    <row r="662" spans="1:23" ht="15.75" customHeight="1" x14ac:dyDescent="0.2">
      <c r="A662" s="141"/>
      <c r="B662" s="144"/>
      <c r="C662" s="94" t="s">
        <v>10</v>
      </c>
      <c r="D662" s="69">
        <f t="shared" si="385"/>
        <v>0</v>
      </c>
      <c r="E662" s="83">
        <v>0</v>
      </c>
      <c r="F662" s="83">
        <v>0</v>
      </c>
      <c r="G662" s="83">
        <v>0</v>
      </c>
      <c r="H662" s="83">
        <v>0</v>
      </c>
      <c r="I662" s="83">
        <v>0</v>
      </c>
      <c r="J662" s="83">
        <v>0</v>
      </c>
      <c r="K662" s="83">
        <v>0</v>
      </c>
      <c r="L662" s="83">
        <v>0</v>
      </c>
      <c r="M662" s="83">
        <v>0</v>
      </c>
      <c r="N662" s="83">
        <v>0</v>
      </c>
      <c r="O662" s="83">
        <v>0</v>
      </c>
      <c r="W662" s="83">
        <v>0</v>
      </c>
    </row>
    <row r="663" spans="1:23" ht="15.75" customHeight="1" x14ac:dyDescent="0.2">
      <c r="A663" s="141"/>
      <c r="B663" s="144"/>
      <c r="C663" s="94" t="s">
        <v>11</v>
      </c>
      <c r="D663" s="69">
        <f t="shared" si="385"/>
        <v>0</v>
      </c>
      <c r="E663" s="83">
        <v>0</v>
      </c>
      <c r="F663" s="83">
        <v>0</v>
      </c>
      <c r="G663" s="83">
        <v>0</v>
      </c>
      <c r="H663" s="83">
        <v>0</v>
      </c>
      <c r="I663" s="83">
        <v>0</v>
      </c>
      <c r="J663" s="83">
        <v>0</v>
      </c>
      <c r="K663" s="83">
        <v>0</v>
      </c>
      <c r="L663" s="83">
        <v>0</v>
      </c>
      <c r="M663" s="83">
        <v>0</v>
      </c>
      <c r="N663" s="83">
        <v>0</v>
      </c>
      <c r="O663" s="83">
        <v>0</v>
      </c>
      <c r="W663" s="83">
        <v>0</v>
      </c>
    </row>
    <row r="664" spans="1:23" ht="15.75" customHeight="1" x14ac:dyDescent="0.2">
      <c r="A664" s="141"/>
      <c r="B664" s="144"/>
      <c r="C664" s="94" t="s">
        <v>12</v>
      </c>
      <c r="D664" s="69">
        <f t="shared" si="385"/>
        <v>331372.2</v>
      </c>
      <c r="E664" s="83">
        <v>0</v>
      </c>
      <c r="F664" s="83">
        <v>36667.5</v>
      </c>
      <c r="G664" s="83">
        <v>33267.5</v>
      </c>
      <c r="H664" s="83">
        <v>35169.599999999999</v>
      </c>
      <c r="I664" s="83">
        <f>23852.9-1792.3</f>
        <v>22060.600000000002</v>
      </c>
      <c r="J664" s="83">
        <f>28768.5-9000</f>
        <v>19768.5</v>
      </c>
      <c r="K664" s="83">
        <f>29083+5516.8+7690+4019.9+14</f>
        <v>46323.700000000004</v>
      </c>
      <c r="L664" s="83">
        <f>34599.8+8000+6572.8+59+6913.1</f>
        <v>56144.700000000004</v>
      </c>
      <c r="M664" s="83">
        <f>35983.8-8149.1+10000+4000-26000+4000</f>
        <v>19834.700000000004</v>
      </c>
      <c r="N664" s="83">
        <f>37423.1-4622.2-351-2631.3</f>
        <v>29818.600000000002</v>
      </c>
      <c r="O664" s="83">
        <f>87586.3-55269.5-4083.8+4083.8</f>
        <v>32316.800000000003</v>
      </c>
      <c r="W664" s="83">
        <v>32316.799999999999</v>
      </c>
    </row>
    <row r="665" spans="1:23" ht="33" customHeight="1" x14ac:dyDescent="0.2">
      <c r="A665" s="141"/>
      <c r="B665" s="144"/>
      <c r="C665" s="94" t="s">
        <v>13</v>
      </c>
      <c r="D665" s="69">
        <f t="shared" si="385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22.5" customHeight="1" x14ac:dyDescent="0.25">
      <c r="A666" s="140" t="s">
        <v>205</v>
      </c>
      <c r="B666" s="143" t="s">
        <v>364</v>
      </c>
      <c r="C666" s="87" t="s">
        <v>7</v>
      </c>
      <c r="D666" s="69">
        <f>E666+F666+G666+H666+I666+J666+K666+L666+M666+N666+O666</f>
        <v>32005.9</v>
      </c>
      <c r="E666" s="83">
        <f t="shared" ref="E666:K666" si="392">SUM(E667:E670)</f>
        <v>0</v>
      </c>
      <c r="F666" s="83">
        <f t="shared" si="392"/>
        <v>0</v>
      </c>
      <c r="G666" s="83">
        <f t="shared" si="392"/>
        <v>0</v>
      </c>
      <c r="H666" s="83">
        <f t="shared" si="392"/>
        <v>0</v>
      </c>
      <c r="I666" s="83">
        <f t="shared" si="392"/>
        <v>22691.4</v>
      </c>
      <c r="J666" s="83">
        <f t="shared" si="392"/>
        <v>9314.5</v>
      </c>
      <c r="K666" s="83">
        <f t="shared" si="392"/>
        <v>0</v>
      </c>
      <c r="L666" s="83">
        <f>SUM(L667:L670)</f>
        <v>0</v>
      </c>
      <c r="M666" s="83">
        <f>SUM(M667:M670)</f>
        <v>0</v>
      </c>
      <c r="N666" s="83">
        <f>SUM(N667:N670)</f>
        <v>0</v>
      </c>
      <c r="O666" s="83">
        <f>SUM(O667:O670)</f>
        <v>0</v>
      </c>
      <c r="P666" s="60">
        <f>I664+I668</f>
        <v>44752</v>
      </c>
      <c r="Q666" s="60"/>
      <c r="W666" s="83">
        <f>SUM(W667:W670)</f>
        <v>0</v>
      </c>
    </row>
    <row r="667" spans="1:23" ht="22.5" customHeight="1" x14ac:dyDescent="0.2">
      <c r="A667" s="141"/>
      <c r="B667" s="144"/>
      <c r="C667" s="94" t="s">
        <v>10</v>
      </c>
      <c r="D667" s="69">
        <f t="shared" si="385"/>
        <v>0</v>
      </c>
      <c r="E667" s="83">
        <v>0</v>
      </c>
      <c r="F667" s="83">
        <v>0</v>
      </c>
      <c r="G667" s="83">
        <v>0</v>
      </c>
      <c r="H667" s="83">
        <v>0</v>
      </c>
      <c r="I667" s="83">
        <v>0</v>
      </c>
      <c r="J667" s="83">
        <v>0</v>
      </c>
      <c r="K667" s="83">
        <v>0</v>
      </c>
      <c r="L667" s="83">
        <v>0</v>
      </c>
      <c r="M667" s="83">
        <v>0</v>
      </c>
      <c r="N667" s="83">
        <v>0</v>
      </c>
      <c r="O667" s="83">
        <v>0</v>
      </c>
      <c r="W667" s="83">
        <v>0</v>
      </c>
    </row>
    <row r="668" spans="1:23" ht="22.5" customHeight="1" x14ac:dyDescent="0.2">
      <c r="A668" s="141"/>
      <c r="B668" s="144"/>
      <c r="C668" s="94" t="s">
        <v>11</v>
      </c>
      <c r="D668" s="69">
        <f t="shared" si="385"/>
        <v>32005.9</v>
      </c>
      <c r="E668" s="83">
        <v>0</v>
      </c>
      <c r="F668" s="83">
        <v>0</v>
      </c>
      <c r="G668" s="83">
        <v>0</v>
      </c>
      <c r="H668" s="83">
        <v>0</v>
      </c>
      <c r="I668" s="83">
        <v>22691.4</v>
      </c>
      <c r="J668" s="83">
        <f>38083-28768.5</f>
        <v>9314.5</v>
      </c>
      <c r="K668" s="83">
        <v>0</v>
      </c>
      <c r="L668" s="83">
        <v>0</v>
      </c>
      <c r="M668" s="83">
        <v>0</v>
      </c>
      <c r="N668" s="83">
        <v>0</v>
      </c>
      <c r="O668" s="83">
        <v>0</v>
      </c>
      <c r="W668" s="83">
        <v>0</v>
      </c>
    </row>
    <row r="669" spans="1:23" ht="22.5" customHeight="1" x14ac:dyDescent="0.2">
      <c r="A669" s="141"/>
      <c r="B669" s="144"/>
      <c r="C669" s="94" t="s">
        <v>12</v>
      </c>
      <c r="D669" s="69">
        <f t="shared" si="385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22.5" customHeight="1" x14ac:dyDescent="0.2">
      <c r="A670" s="141"/>
      <c r="B670" s="144"/>
      <c r="C670" s="94" t="s">
        <v>13</v>
      </c>
      <c r="D670" s="69">
        <f t="shared" si="385"/>
        <v>0</v>
      </c>
      <c r="E670" s="83">
        <v>0</v>
      </c>
      <c r="F670" s="83">
        <v>0</v>
      </c>
      <c r="G670" s="83">
        <v>0</v>
      </c>
      <c r="H670" s="83">
        <v>0</v>
      </c>
      <c r="I670" s="83">
        <v>0</v>
      </c>
      <c r="J670" s="83">
        <v>0</v>
      </c>
      <c r="K670" s="83">
        <v>0</v>
      </c>
      <c r="L670" s="83">
        <v>0</v>
      </c>
      <c r="M670" s="83">
        <v>0</v>
      </c>
      <c r="N670" s="83">
        <v>0</v>
      </c>
      <c r="O670" s="83">
        <v>0</v>
      </c>
      <c r="W670" s="83">
        <v>0</v>
      </c>
    </row>
    <row r="671" spans="1:23" ht="23.25" customHeight="1" x14ac:dyDescent="0.2">
      <c r="A671" s="140" t="s">
        <v>206</v>
      </c>
      <c r="B671" s="143" t="s">
        <v>228</v>
      </c>
      <c r="C671" s="94" t="s">
        <v>7</v>
      </c>
      <c r="D671" s="69">
        <f t="shared" si="385"/>
        <v>62441</v>
      </c>
      <c r="E671" s="83">
        <f t="shared" ref="E671:K671" si="393">SUM(E672:E675)</f>
        <v>62441</v>
      </c>
      <c r="F671" s="83">
        <f t="shared" si="393"/>
        <v>0</v>
      </c>
      <c r="G671" s="83">
        <f t="shared" si="393"/>
        <v>0</v>
      </c>
      <c r="H671" s="83">
        <f t="shared" si="393"/>
        <v>0</v>
      </c>
      <c r="I671" s="83">
        <f t="shared" si="393"/>
        <v>0</v>
      </c>
      <c r="J671" s="83">
        <f t="shared" si="393"/>
        <v>0</v>
      </c>
      <c r="K671" s="83">
        <f t="shared" si="393"/>
        <v>0</v>
      </c>
      <c r="L671" s="83">
        <f>SUM(L672:L675)</f>
        <v>0</v>
      </c>
      <c r="M671" s="83">
        <f>SUM(M672:M675)</f>
        <v>0</v>
      </c>
      <c r="N671" s="83">
        <f>SUM(N672:N675)</f>
        <v>0</v>
      </c>
      <c r="O671" s="83">
        <f>SUM(O672:O675)</f>
        <v>0</v>
      </c>
      <c r="W671" s="83">
        <f>SUM(W672:W675)</f>
        <v>0</v>
      </c>
    </row>
    <row r="672" spans="1:23" ht="23.25" customHeight="1" x14ac:dyDescent="0.2">
      <c r="A672" s="141"/>
      <c r="B672" s="143"/>
      <c r="C672" s="94" t="s">
        <v>10</v>
      </c>
      <c r="D672" s="69">
        <f t="shared" si="385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23.25" customHeight="1" x14ac:dyDescent="0.2">
      <c r="A673" s="141"/>
      <c r="B673" s="143"/>
      <c r="C673" s="94" t="s">
        <v>11</v>
      </c>
      <c r="D673" s="69">
        <f t="shared" si="385"/>
        <v>0</v>
      </c>
      <c r="E673" s="83">
        <v>0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23.25" customHeight="1" x14ac:dyDescent="0.2">
      <c r="A674" s="141"/>
      <c r="B674" s="143"/>
      <c r="C674" s="94" t="s">
        <v>12</v>
      </c>
      <c r="D674" s="69">
        <f t="shared" si="385"/>
        <v>62441</v>
      </c>
      <c r="E674" s="83">
        <v>62441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35.25" customHeight="1" x14ac:dyDescent="0.2">
      <c r="A675" s="141"/>
      <c r="B675" s="143"/>
      <c r="C675" s="94" t="s">
        <v>13</v>
      </c>
      <c r="D675" s="69">
        <f t="shared" si="385"/>
        <v>0</v>
      </c>
      <c r="E675" s="83">
        <v>0</v>
      </c>
      <c r="F675" s="83">
        <v>0</v>
      </c>
      <c r="G675" s="83">
        <v>0</v>
      </c>
      <c r="H675" s="83">
        <v>0</v>
      </c>
      <c r="I675" s="83">
        <v>0</v>
      </c>
      <c r="J675" s="83">
        <v>0</v>
      </c>
      <c r="K675" s="83">
        <v>0</v>
      </c>
      <c r="L675" s="83">
        <v>0</v>
      </c>
      <c r="M675" s="83">
        <v>0</v>
      </c>
      <c r="N675" s="83">
        <v>0</v>
      </c>
      <c r="O675" s="83">
        <v>0</v>
      </c>
      <c r="W675" s="83">
        <v>0</v>
      </c>
    </row>
    <row r="676" spans="1:23" ht="24.75" customHeight="1" x14ac:dyDescent="0.2">
      <c r="A676" s="140" t="s">
        <v>207</v>
      </c>
      <c r="B676" s="143" t="s">
        <v>442</v>
      </c>
      <c r="C676" s="94" t="s">
        <v>7</v>
      </c>
      <c r="D676" s="69">
        <f>E676+F676+G676+H676+I676+J676+K676+L676+M676+N676+O676</f>
        <v>668162.19999999995</v>
      </c>
      <c r="E676" s="83">
        <f t="shared" ref="E676:O676" si="394">SUM(E677:E680)</f>
        <v>1932.4</v>
      </c>
      <c r="F676" s="83">
        <f t="shared" si="394"/>
        <v>76373.399999999994</v>
      </c>
      <c r="G676" s="83">
        <f t="shared" si="394"/>
        <v>73973.399999999994</v>
      </c>
      <c r="H676" s="83">
        <f t="shared" si="394"/>
        <v>75506</v>
      </c>
      <c r="I676" s="83">
        <f t="shared" si="394"/>
        <v>14907.4</v>
      </c>
      <c r="J676" s="83">
        <f t="shared" si="394"/>
        <v>34818.300000000003</v>
      </c>
      <c r="K676" s="83">
        <f t="shared" si="394"/>
        <v>103745.79999999999</v>
      </c>
      <c r="L676" s="83">
        <f t="shared" si="394"/>
        <v>94719.7</v>
      </c>
      <c r="M676" s="83">
        <f t="shared" si="394"/>
        <v>85506.199999999983</v>
      </c>
      <c r="N676" s="83">
        <f t="shared" si="394"/>
        <v>68112.7</v>
      </c>
      <c r="O676" s="83">
        <f t="shared" si="394"/>
        <v>38566.899999999987</v>
      </c>
      <c r="W676" s="83">
        <f t="shared" ref="W676" si="395">SUM(W677:W680)</f>
        <v>38566.9</v>
      </c>
    </row>
    <row r="677" spans="1:23" ht="24.75" customHeight="1" x14ac:dyDescent="0.2">
      <c r="A677" s="141"/>
      <c r="B677" s="143"/>
      <c r="C677" s="94" t="s">
        <v>10</v>
      </c>
      <c r="D677" s="69">
        <f t="shared" si="385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4.75" customHeight="1" x14ac:dyDescent="0.2">
      <c r="A678" s="141"/>
      <c r="B678" s="143"/>
      <c r="C678" s="94" t="s">
        <v>11</v>
      </c>
      <c r="D678" s="69">
        <f t="shared" si="385"/>
        <v>0</v>
      </c>
      <c r="E678" s="83">
        <v>0</v>
      </c>
      <c r="F678" s="83">
        <v>0</v>
      </c>
      <c r="G678" s="83">
        <v>0</v>
      </c>
      <c r="H678" s="83">
        <v>0</v>
      </c>
      <c r="I678" s="83">
        <v>0</v>
      </c>
      <c r="J678" s="83">
        <v>0</v>
      </c>
      <c r="K678" s="83">
        <v>0</v>
      </c>
      <c r="L678" s="83">
        <v>0</v>
      </c>
      <c r="M678" s="83">
        <v>0</v>
      </c>
      <c r="N678" s="83">
        <v>0</v>
      </c>
      <c r="O678" s="83">
        <v>0</v>
      </c>
      <c r="W678" s="83">
        <v>0</v>
      </c>
    </row>
    <row r="679" spans="1:23" ht="24.75" customHeight="1" x14ac:dyDescent="0.2">
      <c r="A679" s="141"/>
      <c r="B679" s="143"/>
      <c r="C679" s="94" t="s">
        <v>12</v>
      </c>
      <c r="D679" s="69">
        <f t="shared" si="385"/>
        <v>668162.19999999995</v>
      </c>
      <c r="E679" s="83">
        <v>1932.4</v>
      </c>
      <c r="F679" s="83">
        <v>76373.399999999994</v>
      </c>
      <c r="G679" s="83">
        <v>73973.399999999994</v>
      </c>
      <c r="H679" s="83">
        <v>75506</v>
      </c>
      <c r="I679" s="83">
        <f>21398.5-6491.1</f>
        <v>14907.4</v>
      </c>
      <c r="J679" s="83">
        <f>42143.1-20000+4043.7+8631.5</f>
        <v>34818.300000000003</v>
      </c>
      <c r="K679" s="83">
        <f>62603+5000+2210.9+4495+16930+12506.9</f>
        <v>103745.79999999999</v>
      </c>
      <c r="L679" s="83">
        <f>72098+61.2+16000-1839.5+8400</f>
        <v>94719.7</v>
      </c>
      <c r="M679" s="83">
        <f>74981.9-6930.1-9269.9-8913-19332.1+15000+969.4+9000+10000+20000</f>
        <v>85506.199999999983</v>
      </c>
      <c r="N679" s="83">
        <f>77981.2-7311.3-11903.5-19332.1-3295.5-5402.6+37376.5</f>
        <v>68112.7</v>
      </c>
      <c r="O679" s="83">
        <f>141380.3-83481.3-19332.1</f>
        <v>38566.899999999987</v>
      </c>
      <c r="W679" s="83">
        <v>38566.9</v>
      </c>
    </row>
    <row r="680" spans="1:23" ht="44.25" customHeight="1" x14ac:dyDescent="0.2">
      <c r="A680" s="141"/>
      <c r="B680" s="143"/>
      <c r="C680" s="94" t="s">
        <v>13</v>
      </c>
      <c r="D680" s="69">
        <f t="shared" si="385"/>
        <v>0</v>
      </c>
      <c r="E680" s="83">
        <v>0</v>
      </c>
      <c r="F680" s="83">
        <v>0</v>
      </c>
      <c r="G680" s="83">
        <v>0</v>
      </c>
      <c r="H680" s="83">
        <v>0</v>
      </c>
      <c r="I680" s="83">
        <v>0</v>
      </c>
      <c r="J680" s="83">
        <v>0</v>
      </c>
      <c r="K680" s="83">
        <v>0</v>
      </c>
      <c r="L680" s="83">
        <v>0</v>
      </c>
      <c r="M680" s="83">
        <v>0</v>
      </c>
      <c r="N680" s="83">
        <v>0</v>
      </c>
      <c r="O680" s="83">
        <v>0</v>
      </c>
      <c r="W680" s="83">
        <v>0</v>
      </c>
    </row>
    <row r="681" spans="1:23" ht="33" customHeight="1" x14ac:dyDescent="0.2">
      <c r="A681" s="140" t="s">
        <v>231</v>
      </c>
      <c r="B681" s="143" t="s">
        <v>361</v>
      </c>
      <c r="C681" s="94" t="s">
        <v>7</v>
      </c>
      <c r="D681" s="69">
        <f>E681+F681+G681+H681+I681+J681+K681+L681+M681+N681+O681</f>
        <v>91947.5</v>
      </c>
      <c r="E681" s="83">
        <f t="shared" ref="E681:O681" si="396">SUM(E682:E685)</f>
        <v>0</v>
      </c>
      <c r="F681" s="83">
        <f t="shared" si="396"/>
        <v>0</v>
      </c>
      <c r="G681" s="83">
        <f t="shared" si="396"/>
        <v>0</v>
      </c>
      <c r="H681" s="83">
        <f t="shared" si="396"/>
        <v>0</v>
      </c>
      <c r="I681" s="83">
        <f>SUM(I682:I685)</f>
        <v>60576.7</v>
      </c>
      <c r="J681" s="83">
        <f t="shared" si="396"/>
        <v>31370.799999999996</v>
      </c>
      <c r="K681" s="83">
        <f t="shared" si="396"/>
        <v>0</v>
      </c>
      <c r="L681" s="83">
        <f t="shared" si="396"/>
        <v>0</v>
      </c>
      <c r="M681" s="83">
        <f t="shared" si="396"/>
        <v>0</v>
      </c>
      <c r="N681" s="83">
        <f t="shared" si="396"/>
        <v>0</v>
      </c>
      <c r="O681" s="83">
        <f t="shared" si="396"/>
        <v>0</v>
      </c>
      <c r="W681" s="83">
        <f t="shared" ref="W681" si="397">SUM(W682:W685)</f>
        <v>0</v>
      </c>
    </row>
    <row r="682" spans="1:23" ht="33" customHeight="1" x14ac:dyDescent="0.2">
      <c r="A682" s="141"/>
      <c r="B682" s="143"/>
      <c r="C682" s="94" t="s">
        <v>10</v>
      </c>
      <c r="D682" s="69">
        <f t="shared" si="385"/>
        <v>0</v>
      </c>
      <c r="E682" s="83">
        <v>0</v>
      </c>
      <c r="F682" s="83">
        <v>0</v>
      </c>
      <c r="G682" s="83">
        <v>0</v>
      </c>
      <c r="H682" s="83">
        <v>0</v>
      </c>
      <c r="I682" s="83">
        <v>0</v>
      </c>
      <c r="J682" s="83">
        <v>0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33" customHeight="1" x14ac:dyDescent="0.2">
      <c r="A683" s="141"/>
      <c r="B683" s="143"/>
      <c r="C683" s="94" t="s">
        <v>11</v>
      </c>
      <c r="D683" s="69">
        <f t="shared" si="385"/>
        <v>91947.5</v>
      </c>
      <c r="E683" s="83">
        <v>0</v>
      </c>
      <c r="F683" s="83">
        <v>0</v>
      </c>
      <c r="G683" s="83">
        <v>0</v>
      </c>
      <c r="H683" s="83">
        <v>0</v>
      </c>
      <c r="I683" s="83">
        <v>60576.7</v>
      </c>
      <c r="J683" s="83">
        <f>73513.9-42143.1</f>
        <v>31370.799999999996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3" customHeight="1" x14ac:dyDescent="0.2">
      <c r="A684" s="141"/>
      <c r="B684" s="143"/>
      <c r="C684" s="94" t="s">
        <v>12</v>
      </c>
      <c r="D684" s="69">
        <f t="shared" si="385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33" customHeight="1" x14ac:dyDescent="0.2">
      <c r="A685" s="141"/>
      <c r="B685" s="143"/>
      <c r="C685" s="94" t="s">
        <v>13</v>
      </c>
      <c r="D685" s="69">
        <f t="shared" si="385"/>
        <v>0</v>
      </c>
      <c r="E685" s="83">
        <v>0</v>
      </c>
      <c r="F685" s="83">
        <v>0</v>
      </c>
      <c r="G685" s="83">
        <v>0</v>
      </c>
      <c r="H685" s="83">
        <v>0</v>
      </c>
      <c r="I685" s="83">
        <v>0</v>
      </c>
      <c r="J685" s="83">
        <v>0</v>
      </c>
      <c r="K685" s="83">
        <v>0</v>
      </c>
      <c r="L685" s="83">
        <v>0</v>
      </c>
      <c r="M685" s="83">
        <v>0</v>
      </c>
      <c r="N685" s="83">
        <v>0</v>
      </c>
      <c r="O685" s="83">
        <v>0</v>
      </c>
      <c r="W685" s="83">
        <v>0</v>
      </c>
    </row>
    <row r="686" spans="1:23" ht="17.25" customHeight="1" x14ac:dyDescent="0.2">
      <c r="A686" s="140" t="s">
        <v>266</v>
      </c>
      <c r="B686" s="137" t="s">
        <v>53</v>
      </c>
      <c r="C686" s="94" t="s">
        <v>7</v>
      </c>
      <c r="D686" s="69">
        <f t="shared" si="385"/>
        <v>281262.66200000001</v>
      </c>
      <c r="E686" s="83">
        <f>E689+E688+E687+E691</f>
        <v>19291.8</v>
      </c>
      <c r="F686" s="83">
        <f t="shared" ref="F686:K686" si="398">SUM(F687:F691)</f>
        <v>23807.200000000001</v>
      </c>
      <c r="G686" s="83">
        <f t="shared" si="398"/>
        <v>28234.6</v>
      </c>
      <c r="H686" s="83">
        <f t="shared" si="398"/>
        <v>22369.4</v>
      </c>
      <c r="I686" s="83">
        <f t="shared" si="398"/>
        <v>22792.7</v>
      </c>
      <c r="J686" s="83">
        <f t="shared" si="398"/>
        <v>25918.3</v>
      </c>
      <c r="K686" s="83">
        <f t="shared" si="398"/>
        <v>42433.862000000001</v>
      </c>
      <c r="L686" s="83">
        <f>SUM(L687:L691)</f>
        <v>35783.599999999999</v>
      </c>
      <c r="M686" s="83">
        <f>SUM(M687:M691)</f>
        <v>39707.799999999996</v>
      </c>
      <c r="N686" s="83">
        <f>SUM(N687:N691)</f>
        <v>10539.5</v>
      </c>
      <c r="O686" s="83">
        <f>SUM(O687:O691)</f>
        <v>10383.900000000001</v>
      </c>
      <c r="W686" s="83">
        <f>SUM(W687:W691)</f>
        <v>10383.9</v>
      </c>
    </row>
    <row r="687" spans="1:23" ht="15.75" x14ac:dyDescent="0.2">
      <c r="A687" s="140"/>
      <c r="B687" s="151"/>
      <c r="C687" s="94" t="s">
        <v>10</v>
      </c>
      <c r="D687" s="69">
        <f t="shared" si="385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15.75" x14ac:dyDescent="0.2">
      <c r="A688" s="140"/>
      <c r="B688" s="151"/>
      <c r="C688" s="94" t="s">
        <v>11</v>
      </c>
      <c r="D688" s="69">
        <f t="shared" si="385"/>
        <v>0</v>
      </c>
      <c r="E688" s="83">
        <v>0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15.75" x14ac:dyDescent="0.2">
      <c r="A689" s="140"/>
      <c r="B689" s="151"/>
      <c r="C689" s="94" t="s">
        <v>12</v>
      </c>
      <c r="D689" s="69">
        <f t="shared" si="385"/>
        <v>281262.66200000001</v>
      </c>
      <c r="E689" s="83">
        <v>19291.8</v>
      </c>
      <c r="F689" s="83">
        <v>23807.200000000001</v>
      </c>
      <c r="G689" s="83">
        <v>28234.6</v>
      </c>
      <c r="H689" s="83">
        <v>22369.4</v>
      </c>
      <c r="I689" s="83">
        <v>22792.7</v>
      </c>
      <c r="J689" s="83">
        <f>18632.6-10699.7+10699.7+882.9+4000+4000-1000-597.2</f>
        <v>25918.3</v>
      </c>
      <c r="K689" s="83">
        <f>11060+1000+77+720.212+320+757+1740.4+2283.7+17440.1-2283.7-17440.1+5201.8-555.089+0.089+15000+9149.5+77-1950-71.45-90-74+71.4</f>
        <v>42433.862000000001</v>
      </c>
      <c r="L689" s="83">
        <f>12252.7+7988.6-400+40.6+400+1380.6+2120.3+11056+181.4+56.6+7239+266.5+51.2-1300-90.5-6000+540.6</f>
        <v>35783.599999999999</v>
      </c>
      <c r="M689" s="83">
        <f>9475.8-9269.9+9269.9-1299.3-471.3+854+155.6+3000+315.3+1290.5+129.3-43.6+277.9+841.1+158.2-841.1+841.1+13711+875.5+10612.2+7.6-182</f>
        <v>39707.799999999996</v>
      </c>
      <c r="N689" s="83">
        <f>9522.1+1017.4</f>
        <v>10539.5</v>
      </c>
      <c r="O689" s="83">
        <f>28657.9-18274</f>
        <v>10383.900000000001</v>
      </c>
      <c r="W689" s="83">
        <v>10383.9</v>
      </c>
      <c r="X689" s="60"/>
      <c r="Y689" s="60"/>
      <c r="Z689" s="60"/>
    </row>
    <row r="690" spans="1:26" ht="31.5" customHeight="1" x14ac:dyDescent="0.2">
      <c r="A690" s="140"/>
      <c r="B690" s="151"/>
      <c r="C690" s="72" t="s">
        <v>79</v>
      </c>
      <c r="D690" s="71">
        <f t="shared" si="385"/>
        <v>1874.1</v>
      </c>
      <c r="E690" s="88">
        <v>1874.1</v>
      </c>
      <c r="F690" s="88">
        <v>0</v>
      </c>
      <c r="G690" s="88">
        <v>0</v>
      </c>
      <c r="H690" s="88">
        <v>0</v>
      </c>
      <c r="I690" s="88">
        <v>0</v>
      </c>
      <c r="J690" s="88">
        <v>0</v>
      </c>
      <c r="K690" s="88">
        <v>0</v>
      </c>
      <c r="L690" s="88">
        <v>0</v>
      </c>
      <c r="M690" s="88">
        <v>0</v>
      </c>
      <c r="N690" s="88">
        <v>0</v>
      </c>
      <c r="O690" s="88">
        <v>0</v>
      </c>
      <c r="W690" s="88">
        <v>0</v>
      </c>
    </row>
    <row r="691" spans="1:26" ht="15.75" x14ac:dyDescent="0.2">
      <c r="A691" s="140"/>
      <c r="B691" s="152"/>
      <c r="C691" s="94" t="s">
        <v>13</v>
      </c>
      <c r="D691" s="69">
        <f t="shared" si="385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21" customHeight="1" x14ac:dyDescent="0.2">
      <c r="A692" s="140" t="s">
        <v>267</v>
      </c>
      <c r="B692" s="143" t="s">
        <v>250</v>
      </c>
      <c r="C692" s="94" t="s">
        <v>7</v>
      </c>
      <c r="D692" s="69">
        <f t="shared" si="385"/>
        <v>150701.4</v>
      </c>
      <c r="E692" s="83">
        <f t="shared" ref="E692:O692" si="399">E693+E694+E695+E697</f>
        <v>28675.9</v>
      </c>
      <c r="F692" s="83">
        <f t="shared" si="399"/>
        <v>35910.699999999997</v>
      </c>
      <c r="G692" s="83">
        <f t="shared" si="399"/>
        <v>6899.6</v>
      </c>
      <c r="H692" s="83">
        <f t="shared" si="399"/>
        <v>8413.2000000000007</v>
      </c>
      <c r="I692" s="83">
        <f t="shared" si="399"/>
        <v>18601.100000000002</v>
      </c>
      <c r="J692" s="83">
        <f t="shared" si="399"/>
        <v>9981.3000000000011</v>
      </c>
      <c r="K692" s="83">
        <f t="shared" si="399"/>
        <v>18751</v>
      </c>
      <c r="L692" s="83">
        <f t="shared" si="399"/>
        <v>17255.599999999999</v>
      </c>
      <c r="M692" s="83">
        <f t="shared" si="399"/>
        <v>0</v>
      </c>
      <c r="N692" s="83">
        <f t="shared" si="399"/>
        <v>6213</v>
      </c>
      <c r="O692" s="83">
        <f t="shared" si="399"/>
        <v>0</v>
      </c>
      <c r="W692" s="83">
        <f t="shared" ref="W692" si="400">W693+W694+W695+W697</f>
        <v>0</v>
      </c>
    </row>
    <row r="693" spans="1:26" ht="21" customHeight="1" x14ac:dyDescent="0.2">
      <c r="A693" s="140"/>
      <c r="B693" s="144"/>
      <c r="C693" s="94" t="s">
        <v>10</v>
      </c>
      <c r="D693" s="69">
        <f t="shared" si="385"/>
        <v>0</v>
      </c>
      <c r="E693" s="83">
        <v>0</v>
      </c>
      <c r="F693" s="83">
        <v>0</v>
      </c>
      <c r="G693" s="83">
        <v>0</v>
      </c>
      <c r="H693" s="83">
        <v>0</v>
      </c>
      <c r="I693" s="83">
        <v>0</v>
      </c>
      <c r="J693" s="83">
        <v>0</v>
      </c>
      <c r="K693" s="83">
        <v>0</v>
      </c>
      <c r="L693" s="83">
        <v>0</v>
      </c>
      <c r="M693" s="83">
        <v>0</v>
      </c>
      <c r="N693" s="83">
        <v>0</v>
      </c>
      <c r="O693" s="83">
        <v>0</v>
      </c>
      <c r="W693" s="83">
        <v>0</v>
      </c>
    </row>
    <row r="694" spans="1:26" ht="21" customHeight="1" x14ac:dyDescent="0.2">
      <c r="A694" s="140"/>
      <c r="B694" s="144"/>
      <c r="C694" s="94" t="s">
        <v>11</v>
      </c>
      <c r="D694" s="69">
        <f t="shared" si="385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33" customHeight="1" x14ac:dyDescent="0.2">
      <c r="A695" s="140"/>
      <c r="B695" s="144"/>
      <c r="C695" s="94" t="s">
        <v>65</v>
      </c>
      <c r="D695" s="69">
        <f t="shared" si="385"/>
        <v>150701.4</v>
      </c>
      <c r="E695" s="83">
        <f>E696</f>
        <v>28675.9</v>
      </c>
      <c r="F695" s="83">
        <v>35910.699999999997</v>
      </c>
      <c r="G695" s="83">
        <v>6899.6</v>
      </c>
      <c r="H695" s="83">
        <v>8413.2000000000007</v>
      </c>
      <c r="I695" s="83">
        <f>20814-605.6-1607.3</f>
        <v>18601.100000000002</v>
      </c>
      <c r="J695" s="83">
        <f>15000+5950-3250+1905.9-9574.5+50-100.2+0.1</f>
        <v>9981.3000000000011</v>
      </c>
      <c r="K695" s="83">
        <f>20300-1400-149+18659.2-6396.3-12262.8-0.1</f>
        <v>18751</v>
      </c>
      <c r="L695" s="83">
        <f>21000-700*4-700+700-248.4-200-160-270-66</f>
        <v>17255.599999999999</v>
      </c>
      <c r="M695" s="83">
        <v>0</v>
      </c>
      <c r="N695" s="83">
        <v>6213</v>
      </c>
      <c r="O695" s="83">
        <f>15000-15000</f>
        <v>0</v>
      </c>
      <c r="W695" s="83">
        <f>15000-15000</f>
        <v>0</v>
      </c>
    </row>
    <row r="696" spans="1:26" ht="30.75" customHeight="1" x14ac:dyDescent="0.2">
      <c r="A696" s="140"/>
      <c r="B696" s="144"/>
      <c r="C696" s="74" t="s">
        <v>79</v>
      </c>
      <c r="D696" s="71">
        <f t="shared" si="385"/>
        <v>57175.9</v>
      </c>
      <c r="E696" s="88">
        <v>28675.9</v>
      </c>
      <c r="F696" s="88">
        <v>28500</v>
      </c>
      <c r="G696" s="88">
        <v>0</v>
      </c>
      <c r="H696" s="88">
        <v>0</v>
      </c>
      <c r="I696" s="88">
        <v>0</v>
      </c>
      <c r="J696" s="88">
        <v>0</v>
      </c>
      <c r="K696" s="88">
        <v>0</v>
      </c>
      <c r="L696" s="88">
        <v>0</v>
      </c>
      <c r="M696" s="88">
        <v>0</v>
      </c>
      <c r="N696" s="88">
        <v>0</v>
      </c>
      <c r="O696" s="88">
        <v>0</v>
      </c>
      <c r="W696" s="88">
        <v>0</v>
      </c>
    </row>
    <row r="697" spans="1:26" ht="21" customHeight="1" x14ac:dyDescent="0.2">
      <c r="A697" s="140"/>
      <c r="B697" s="144"/>
      <c r="C697" s="94" t="s">
        <v>13</v>
      </c>
      <c r="D697" s="69">
        <f t="shared" si="385"/>
        <v>0</v>
      </c>
      <c r="E697" s="83">
        <v>0</v>
      </c>
      <c r="F697" s="83">
        <v>0</v>
      </c>
      <c r="G697" s="83">
        <v>0</v>
      </c>
      <c r="H697" s="83">
        <v>0</v>
      </c>
      <c r="I697" s="83">
        <v>0</v>
      </c>
      <c r="J697" s="83">
        <v>0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75" x14ac:dyDescent="0.2">
      <c r="A698" s="140" t="s">
        <v>268</v>
      </c>
      <c r="B698" s="140" t="s">
        <v>242</v>
      </c>
      <c r="C698" s="84" t="s">
        <v>7</v>
      </c>
      <c r="D698" s="69">
        <f t="shared" si="385"/>
        <v>951</v>
      </c>
      <c r="E698" s="83">
        <f>E699+E700+E701+E702</f>
        <v>0</v>
      </c>
      <c r="F698" s="83">
        <f t="shared" ref="F698:K698" si="401">F699+F700+F701+F702</f>
        <v>0</v>
      </c>
      <c r="G698" s="83">
        <f t="shared" si="401"/>
        <v>347.6</v>
      </c>
      <c r="H698" s="83">
        <f t="shared" si="401"/>
        <v>589.4</v>
      </c>
      <c r="I698" s="83">
        <f t="shared" si="401"/>
        <v>14</v>
      </c>
      <c r="J698" s="83">
        <f t="shared" si="401"/>
        <v>0</v>
      </c>
      <c r="K698" s="83">
        <f t="shared" si="401"/>
        <v>0</v>
      </c>
      <c r="L698" s="83">
        <f>L699+L700+L701+L702</f>
        <v>0</v>
      </c>
      <c r="M698" s="83">
        <f>M699+M700+M701+M702</f>
        <v>0</v>
      </c>
      <c r="N698" s="83">
        <f>N699+N700+N701+N702</f>
        <v>0</v>
      </c>
      <c r="O698" s="83">
        <f>O699+O700+O701+O702</f>
        <v>0</v>
      </c>
      <c r="W698" s="83">
        <f>W699+W700+W701+W702</f>
        <v>0</v>
      </c>
    </row>
    <row r="699" spans="1:26" ht="15.75" x14ac:dyDescent="0.2">
      <c r="A699" s="140"/>
      <c r="B699" s="140"/>
      <c r="C699" s="94" t="s">
        <v>10</v>
      </c>
      <c r="D699" s="69">
        <f t="shared" si="385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75" x14ac:dyDescent="0.2">
      <c r="A700" s="140"/>
      <c r="B700" s="140"/>
      <c r="C700" s="94" t="s">
        <v>11</v>
      </c>
      <c r="D700" s="69">
        <f t="shared" si="385"/>
        <v>0</v>
      </c>
      <c r="E700" s="83">
        <v>0</v>
      </c>
      <c r="F700" s="83">
        <v>0</v>
      </c>
      <c r="G700" s="83">
        <v>0</v>
      </c>
      <c r="H700" s="83">
        <v>0</v>
      </c>
      <c r="I700" s="83">
        <v>0</v>
      </c>
      <c r="J700" s="83">
        <v>0</v>
      </c>
      <c r="K700" s="83">
        <v>0</v>
      </c>
      <c r="L700" s="83">
        <v>0</v>
      </c>
      <c r="M700" s="83">
        <v>0</v>
      </c>
      <c r="N700" s="83">
        <v>0</v>
      </c>
      <c r="O700" s="83">
        <v>0</v>
      </c>
      <c r="W700" s="83">
        <v>0</v>
      </c>
    </row>
    <row r="701" spans="1:26" ht="15.75" x14ac:dyDescent="0.2">
      <c r="A701" s="140"/>
      <c r="B701" s="140"/>
      <c r="C701" s="94" t="s">
        <v>12</v>
      </c>
      <c r="D701" s="69">
        <f t="shared" si="385"/>
        <v>951</v>
      </c>
      <c r="E701" s="83">
        <v>0</v>
      </c>
      <c r="F701" s="83">
        <v>0</v>
      </c>
      <c r="G701" s="83">
        <v>347.6</v>
      </c>
      <c r="H701" s="83">
        <v>589.4</v>
      </c>
      <c r="I701" s="83">
        <v>14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18" customHeight="1" x14ac:dyDescent="0.2">
      <c r="A702" s="140"/>
      <c r="B702" s="140"/>
      <c r="C702" s="94" t="s">
        <v>13</v>
      </c>
      <c r="D702" s="69">
        <f t="shared" si="385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15.75" x14ac:dyDescent="0.2">
      <c r="A703" s="140" t="s">
        <v>307</v>
      </c>
      <c r="B703" s="140" t="s">
        <v>308</v>
      </c>
      <c r="C703" s="84" t="s">
        <v>7</v>
      </c>
      <c r="D703" s="69">
        <f t="shared" ref="D703:D733" si="402">E703+F703+G703+H703+I703+J703+K703+L703+M703+N703+O703</f>
        <v>5870</v>
      </c>
      <c r="E703" s="83">
        <f>E704+E705+E706+E707</f>
        <v>0</v>
      </c>
      <c r="F703" s="83">
        <f t="shared" ref="F703:O703" si="403">F704+F705+F706+F707</f>
        <v>0</v>
      </c>
      <c r="G703" s="83">
        <f t="shared" si="403"/>
        <v>0</v>
      </c>
      <c r="H703" s="83">
        <f t="shared" si="403"/>
        <v>0</v>
      </c>
      <c r="I703" s="83">
        <f>I704+I705+I706+I707</f>
        <v>3397.4</v>
      </c>
      <c r="J703" s="83">
        <f t="shared" si="403"/>
        <v>2472.6</v>
      </c>
      <c r="K703" s="83">
        <f t="shared" si="403"/>
        <v>0</v>
      </c>
      <c r="L703" s="83">
        <f t="shared" si="403"/>
        <v>0</v>
      </c>
      <c r="M703" s="83">
        <f t="shared" si="403"/>
        <v>0</v>
      </c>
      <c r="N703" s="83">
        <f t="shared" si="403"/>
        <v>0</v>
      </c>
      <c r="O703" s="83">
        <f t="shared" si="403"/>
        <v>0</v>
      </c>
      <c r="P703" s="58">
        <v>3397.4</v>
      </c>
      <c r="Q703" s="67">
        <f>I703-P703</f>
        <v>0</v>
      </c>
      <c r="S703" s="78"/>
      <c r="W703" s="83">
        <f t="shared" ref="W703" si="404">W704+W705+W706+W707</f>
        <v>0</v>
      </c>
    </row>
    <row r="704" spans="1:26" ht="15.75" x14ac:dyDescent="0.2">
      <c r="A704" s="140"/>
      <c r="B704" s="140"/>
      <c r="C704" s="94" t="s">
        <v>10</v>
      </c>
      <c r="D704" s="69">
        <f t="shared" si="402"/>
        <v>0</v>
      </c>
      <c r="E704" s="83">
        <v>0</v>
      </c>
      <c r="F704" s="83">
        <v>0</v>
      </c>
      <c r="G704" s="83">
        <v>0</v>
      </c>
      <c r="H704" s="83">
        <v>0</v>
      </c>
      <c r="I704" s="83">
        <v>0</v>
      </c>
      <c r="J704" s="83">
        <v>0</v>
      </c>
      <c r="K704" s="83">
        <v>0</v>
      </c>
      <c r="L704" s="83">
        <v>0</v>
      </c>
      <c r="M704" s="83">
        <v>0</v>
      </c>
      <c r="N704" s="83">
        <v>0</v>
      </c>
      <c r="O704" s="83">
        <v>0</v>
      </c>
      <c r="W704" s="83">
        <v>0</v>
      </c>
    </row>
    <row r="705" spans="1:23" ht="15.75" x14ac:dyDescent="0.2">
      <c r="A705" s="140"/>
      <c r="B705" s="140"/>
      <c r="C705" s="94" t="s">
        <v>11</v>
      </c>
      <c r="D705" s="69">
        <f t="shared" si="402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15.75" x14ac:dyDescent="0.2">
      <c r="A706" s="140"/>
      <c r="B706" s="140"/>
      <c r="C706" s="94" t="s">
        <v>12</v>
      </c>
      <c r="D706" s="69">
        <f t="shared" si="402"/>
        <v>5870</v>
      </c>
      <c r="E706" s="83">
        <v>0</v>
      </c>
      <c r="F706" s="83">
        <v>0</v>
      </c>
      <c r="G706" s="83">
        <v>0</v>
      </c>
      <c r="H706" s="83">
        <v>0</v>
      </c>
      <c r="I706" s="83">
        <v>3397.4</v>
      </c>
      <c r="J706" s="83">
        <f>3250-648.3-129.1</f>
        <v>2472.6</v>
      </c>
      <c r="K706" s="83">
        <f>5000-5000</f>
        <v>0</v>
      </c>
      <c r="L706" s="83">
        <v>0</v>
      </c>
      <c r="M706" s="83">
        <v>0</v>
      </c>
      <c r="N706" s="83">
        <v>0</v>
      </c>
      <c r="O706" s="83">
        <v>0</v>
      </c>
      <c r="W706" s="83">
        <v>0</v>
      </c>
    </row>
    <row r="707" spans="1:23" ht="15.75" x14ac:dyDescent="0.2">
      <c r="A707" s="140"/>
      <c r="B707" s="140"/>
      <c r="C707" s="94" t="s">
        <v>13</v>
      </c>
      <c r="D707" s="69">
        <f t="shared" si="402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15.75" x14ac:dyDescent="0.2">
      <c r="A708" s="140" t="s">
        <v>383</v>
      </c>
      <c r="B708" s="140" t="s">
        <v>384</v>
      </c>
      <c r="C708" s="84" t="s">
        <v>7</v>
      </c>
      <c r="D708" s="69">
        <f t="shared" si="402"/>
        <v>1215.9000000000001</v>
      </c>
      <c r="E708" s="83">
        <f>E709+E710+E711+E712</f>
        <v>0</v>
      </c>
      <c r="F708" s="83">
        <f t="shared" ref="F708:O708" si="405">F709+F710+F711+F712</f>
        <v>0</v>
      </c>
      <c r="G708" s="83">
        <f t="shared" si="405"/>
        <v>0</v>
      </c>
      <c r="H708" s="83">
        <f t="shared" si="405"/>
        <v>0</v>
      </c>
      <c r="I708" s="83">
        <f>I709+I710+I711+I712</f>
        <v>0</v>
      </c>
      <c r="J708" s="83">
        <f t="shared" si="405"/>
        <v>0</v>
      </c>
      <c r="K708" s="83">
        <f t="shared" si="405"/>
        <v>1215.9000000000001</v>
      </c>
      <c r="L708" s="83">
        <f t="shared" si="405"/>
        <v>0</v>
      </c>
      <c r="M708" s="83">
        <f t="shared" si="405"/>
        <v>0</v>
      </c>
      <c r="N708" s="83">
        <f t="shared" si="405"/>
        <v>0</v>
      </c>
      <c r="O708" s="83">
        <f t="shared" si="405"/>
        <v>0</v>
      </c>
      <c r="W708" s="83">
        <f t="shared" ref="W708" si="406">W709+W710+W711+W712</f>
        <v>0</v>
      </c>
    </row>
    <row r="709" spans="1:23" ht="15.75" x14ac:dyDescent="0.2">
      <c r="A709" s="140"/>
      <c r="B709" s="140"/>
      <c r="C709" s="94" t="s">
        <v>10</v>
      </c>
      <c r="D709" s="69">
        <f t="shared" si="402"/>
        <v>0</v>
      </c>
      <c r="E709" s="83">
        <v>0</v>
      </c>
      <c r="F709" s="83">
        <v>0</v>
      </c>
      <c r="G709" s="83">
        <v>0</v>
      </c>
      <c r="H709" s="83">
        <v>0</v>
      </c>
      <c r="I709" s="83">
        <v>0</v>
      </c>
      <c r="J709" s="83">
        <v>0</v>
      </c>
      <c r="K709" s="83">
        <v>0</v>
      </c>
      <c r="L709" s="83">
        <v>0</v>
      </c>
      <c r="M709" s="83">
        <v>0</v>
      </c>
      <c r="N709" s="83">
        <v>0</v>
      </c>
      <c r="O709" s="83">
        <v>0</v>
      </c>
      <c r="W709" s="83">
        <v>0</v>
      </c>
    </row>
    <row r="710" spans="1:23" ht="15.75" x14ac:dyDescent="0.2">
      <c r="A710" s="140"/>
      <c r="B710" s="140"/>
      <c r="C710" s="94" t="s">
        <v>11</v>
      </c>
      <c r="D710" s="69">
        <f t="shared" si="402"/>
        <v>0</v>
      </c>
      <c r="E710" s="83">
        <v>0</v>
      </c>
      <c r="F710" s="83">
        <v>0</v>
      </c>
      <c r="G710" s="83">
        <v>0</v>
      </c>
      <c r="H710" s="83">
        <v>0</v>
      </c>
      <c r="I710" s="83">
        <v>0</v>
      </c>
      <c r="J710" s="83">
        <v>0</v>
      </c>
      <c r="K710" s="83">
        <v>0</v>
      </c>
      <c r="L710" s="83">
        <v>0</v>
      </c>
      <c r="M710" s="83">
        <v>0</v>
      </c>
      <c r="N710" s="83">
        <v>0</v>
      </c>
      <c r="O710" s="83">
        <v>0</v>
      </c>
      <c r="W710" s="83">
        <v>0</v>
      </c>
    </row>
    <row r="711" spans="1:23" ht="15.75" x14ac:dyDescent="0.2">
      <c r="A711" s="140"/>
      <c r="B711" s="140"/>
      <c r="C711" s="94" t="s">
        <v>12</v>
      </c>
      <c r="D711" s="69">
        <f t="shared" si="402"/>
        <v>1215.9000000000001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1215.9000000000001</v>
      </c>
      <c r="L711" s="83">
        <f>1493.4-1493.4</f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40"/>
      <c r="B712" s="140"/>
      <c r="C712" s="94" t="s">
        <v>13</v>
      </c>
      <c r="D712" s="69">
        <f t="shared" si="402"/>
        <v>0</v>
      </c>
      <c r="E712" s="83">
        <v>0</v>
      </c>
      <c r="F712" s="83">
        <v>0</v>
      </c>
      <c r="G712" s="83">
        <v>0</v>
      </c>
      <c r="H712" s="83">
        <v>0</v>
      </c>
      <c r="I712" s="83">
        <v>0</v>
      </c>
      <c r="J712" s="83">
        <v>0</v>
      </c>
      <c r="K712" s="83">
        <v>0</v>
      </c>
      <c r="L712" s="83">
        <v>0</v>
      </c>
      <c r="M712" s="83">
        <v>0</v>
      </c>
      <c r="N712" s="83">
        <v>0</v>
      </c>
      <c r="O712" s="83">
        <v>0</v>
      </c>
      <c r="W712" s="83">
        <v>0</v>
      </c>
    </row>
    <row r="713" spans="1:23" ht="15.75" x14ac:dyDescent="0.2">
      <c r="A713" s="140" t="s">
        <v>386</v>
      </c>
      <c r="B713" s="140" t="s">
        <v>404</v>
      </c>
      <c r="C713" s="84" t="s">
        <v>7</v>
      </c>
      <c r="D713" s="69">
        <f t="shared" si="402"/>
        <v>688814.8</v>
      </c>
      <c r="E713" s="83">
        <f t="shared" ref="E713:O713" si="407">E714+E715+E716+E717</f>
        <v>0</v>
      </c>
      <c r="F713" s="83">
        <f t="shared" si="407"/>
        <v>0</v>
      </c>
      <c r="G713" s="83">
        <f t="shared" si="407"/>
        <v>0</v>
      </c>
      <c r="H713" s="83">
        <f t="shared" si="407"/>
        <v>0</v>
      </c>
      <c r="I713" s="83">
        <f t="shared" si="407"/>
        <v>0</v>
      </c>
      <c r="J713" s="83">
        <f t="shared" si="407"/>
        <v>0</v>
      </c>
      <c r="K713" s="83">
        <f t="shared" si="407"/>
        <v>52637.4</v>
      </c>
      <c r="L713" s="83">
        <f t="shared" si="407"/>
        <v>131936.5</v>
      </c>
      <c r="M713" s="83">
        <f t="shared" si="407"/>
        <v>242573.90000000002</v>
      </c>
      <c r="N713" s="83">
        <f t="shared" si="407"/>
        <v>123766.09999999999</v>
      </c>
      <c r="O713" s="83">
        <f t="shared" si="407"/>
        <v>137900.9</v>
      </c>
      <c r="W713" s="83">
        <f t="shared" ref="W713" si="408">W714+W715+W716+W717</f>
        <v>175892.4</v>
      </c>
    </row>
    <row r="714" spans="1:23" ht="15.75" x14ac:dyDescent="0.2">
      <c r="A714" s="140"/>
      <c r="B714" s="140"/>
      <c r="C714" s="94" t="s">
        <v>10</v>
      </c>
      <c r="D714" s="69">
        <f t="shared" si="402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40"/>
      <c r="B715" s="140"/>
      <c r="C715" s="94" t="s">
        <v>11</v>
      </c>
      <c r="D715" s="69">
        <f t="shared" si="402"/>
        <v>0</v>
      </c>
      <c r="E715" s="83">
        <v>0</v>
      </c>
      <c r="F715" s="83">
        <v>0</v>
      </c>
      <c r="G715" s="83">
        <v>0</v>
      </c>
      <c r="H715" s="83">
        <v>0</v>
      </c>
      <c r="I715" s="83">
        <v>0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31.5" x14ac:dyDescent="0.2">
      <c r="A716" s="140"/>
      <c r="B716" s="140"/>
      <c r="C716" s="94" t="s">
        <v>65</v>
      </c>
      <c r="D716" s="69">
        <f t="shared" si="402"/>
        <v>688814.8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f>30000+22637.4+2056-2056</f>
        <v>52637.4</v>
      </c>
      <c r="L716" s="83">
        <f>126936.5-12775.3+12775.3+5000</f>
        <v>131936.5</v>
      </c>
      <c r="M716" s="93">
        <f>179515.2-77898.6+9922+3500+39844.1+7598.7+49261.9-30400+1923.1+30000+29307.5</f>
        <v>242573.90000000002</v>
      </c>
      <c r="N716" s="83">
        <f>198915.9-66227.6-8922.2</f>
        <v>123766.09999999999</v>
      </c>
      <c r="O716" s="83">
        <f>0+132787.4+5113.5</f>
        <v>137900.9</v>
      </c>
      <c r="W716" s="83">
        <v>175892.4</v>
      </c>
    </row>
    <row r="717" spans="1:23" ht="15.75" x14ac:dyDescent="0.2">
      <c r="A717" s="140"/>
      <c r="B717" s="140"/>
      <c r="C717" s="94" t="s">
        <v>13</v>
      </c>
      <c r="D717" s="69">
        <f t="shared" si="402"/>
        <v>0</v>
      </c>
      <c r="E717" s="83">
        <v>0</v>
      </c>
      <c r="F717" s="83">
        <v>0</v>
      </c>
      <c r="G717" s="83">
        <v>0</v>
      </c>
      <c r="H717" s="83">
        <v>0</v>
      </c>
      <c r="I717" s="83">
        <v>0</v>
      </c>
      <c r="J717" s="83">
        <v>0</v>
      </c>
      <c r="K717" s="83">
        <v>0</v>
      </c>
      <c r="L717" s="83">
        <v>0</v>
      </c>
      <c r="M717" s="83">
        <v>0</v>
      </c>
      <c r="N717" s="83">
        <v>0</v>
      </c>
      <c r="O717" s="83">
        <v>0</v>
      </c>
      <c r="W717" s="83">
        <v>0</v>
      </c>
    </row>
    <row r="718" spans="1:23" ht="15.75" x14ac:dyDescent="0.2">
      <c r="A718" s="140" t="s">
        <v>389</v>
      </c>
      <c r="B718" s="140" t="s">
        <v>396</v>
      </c>
      <c r="C718" s="84" t="s">
        <v>7</v>
      </c>
      <c r="D718" s="69">
        <f t="shared" ref="D718" si="409">E718+F718+G718+H718+I718+J718+K718+L718+M718+N718+O718</f>
        <v>20707.8</v>
      </c>
      <c r="E718" s="83">
        <f>E719+E720+E721+E722</f>
        <v>0</v>
      </c>
      <c r="F718" s="83">
        <f t="shared" ref="F718:O718" si="410">F719+F720+F721+F722</f>
        <v>0</v>
      </c>
      <c r="G718" s="83">
        <f t="shared" si="410"/>
        <v>0</v>
      </c>
      <c r="H718" s="83">
        <f t="shared" si="410"/>
        <v>0</v>
      </c>
      <c r="I718" s="83">
        <f>I719+I720+I721+I722</f>
        <v>0</v>
      </c>
      <c r="J718" s="83">
        <f t="shared" si="410"/>
        <v>0</v>
      </c>
      <c r="K718" s="83">
        <f t="shared" si="410"/>
        <v>12262.8</v>
      </c>
      <c r="L718" s="83">
        <f t="shared" si="410"/>
        <v>8445</v>
      </c>
      <c r="M718" s="83">
        <f t="shared" si="410"/>
        <v>0</v>
      </c>
      <c r="N718" s="83">
        <f t="shared" si="410"/>
        <v>0</v>
      </c>
      <c r="O718" s="83">
        <f t="shared" si="410"/>
        <v>0</v>
      </c>
      <c r="W718" s="83">
        <f t="shared" ref="W718" si="411">W719+W720+W721+W722</f>
        <v>0</v>
      </c>
    </row>
    <row r="719" spans="1:23" ht="15.75" x14ac:dyDescent="0.2">
      <c r="A719" s="140"/>
      <c r="B719" s="140"/>
      <c r="C719" s="94" t="s">
        <v>10</v>
      </c>
      <c r="D719" s="69">
        <f t="shared" si="402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40"/>
      <c r="B720" s="140"/>
      <c r="C720" s="94" t="s">
        <v>11</v>
      </c>
      <c r="D720" s="69">
        <f>E720+F720+G720+H720+I720+J720+K720+L720+M720+N720+O720</f>
        <v>0</v>
      </c>
      <c r="E720" s="83">
        <v>0</v>
      </c>
      <c r="F720" s="83">
        <v>0</v>
      </c>
      <c r="G720" s="83">
        <v>0</v>
      </c>
      <c r="H720" s="83">
        <v>0</v>
      </c>
      <c r="I720" s="83">
        <v>0</v>
      </c>
      <c r="J720" s="83">
        <v>0</v>
      </c>
      <c r="K720" s="83"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75" x14ac:dyDescent="0.2">
      <c r="A721" s="140"/>
      <c r="B721" s="140"/>
      <c r="C721" s="94" t="s">
        <v>12</v>
      </c>
      <c r="D721" s="69">
        <f t="shared" si="402"/>
        <v>20707.8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12262.8</v>
      </c>
      <c r="L721" s="83">
        <f>3955.5-0.1-1380.6+5870.2</f>
        <v>8445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40"/>
      <c r="B722" s="140"/>
      <c r="C722" s="94" t="s">
        <v>13</v>
      </c>
      <c r="D722" s="69">
        <f t="shared" si="402"/>
        <v>0</v>
      </c>
      <c r="E722" s="83">
        <v>0</v>
      </c>
      <c r="F722" s="83">
        <v>0</v>
      </c>
      <c r="G722" s="83">
        <v>0</v>
      </c>
      <c r="H722" s="83">
        <v>0</v>
      </c>
      <c r="I722" s="83">
        <v>0</v>
      </c>
      <c r="J722" s="83">
        <v>0</v>
      </c>
      <c r="K722" s="83">
        <v>0</v>
      </c>
      <c r="L722" s="83">
        <v>0</v>
      </c>
      <c r="M722" s="83">
        <v>0</v>
      </c>
      <c r="N722" s="83">
        <v>0</v>
      </c>
      <c r="O722" s="83">
        <v>0</v>
      </c>
      <c r="W722" s="83">
        <v>0</v>
      </c>
    </row>
    <row r="723" spans="1:23" ht="15.75" customHeight="1" x14ac:dyDescent="0.2">
      <c r="A723" s="140" t="s">
        <v>390</v>
      </c>
      <c r="B723" s="140" t="s">
        <v>441</v>
      </c>
      <c r="C723" s="84" t="s">
        <v>7</v>
      </c>
      <c r="D723" s="69">
        <f t="shared" si="402"/>
        <v>9089.0000000000018</v>
      </c>
      <c r="E723" s="83">
        <f>E724+E725+E726+E727</f>
        <v>0</v>
      </c>
      <c r="F723" s="83">
        <f t="shared" ref="F723:O723" si="412">F724+F725+F726+F727</f>
        <v>0</v>
      </c>
      <c r="G723" s="83">
        <f t="shared" si="412"/>
        <v>0</v>
      </c>
      <c r="H723" s="83">
        <f t="shared" si="412"/>
        <v>0</v>
      </c>
      <c r="I723" s="83">
        <f>I724+I725+I726+I727</f>
        <v>0</v>
      </c>
      <c r="J723" s="83">
        <f t="shared" si="412"/>
        <v>0</v>
      </c>
      <c r="K723" s="83">
        <f t="shared" si="412"/>
        <v>2738.4</v>
      </c>
      <c r="L723" s="83">
        <f t="shared" si="412"/>
        <v>2635.3</v>
      </c>
      <c r="M723" s="83">
        <f t="shared" si="412"/>
        <v>1993.7000000000003</v>
      </c>
      <c r="N723" s="83">
        <f t="shared" si="412"/>
        <v>867.2</v>
      </c>
      <c r="O723" s="83">
        <f t="shared" si="412"/>
        <v>854.4</v>
      </c>
      <c r="W723" s="83">
        <f t="shared" ref="W723" si="413">W724+W725+W726+W727</f>
        <v>854.4</v>
      </c>
    </row>
    <row r="724" spans="1:23" ht="15.75" x14ac:dyDescent="0.2">
      <c r="A724" s="140"/>
      <c r="B724" s="140"/>
      <c r="C724" s="94" t="s">
        <v>10</v>
      </c>
      <c r="D724" s="69">
        <f t="shared" si="402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40"/>
      <c r="B725" s="140"/>
      <c r="C725" s="94" t="s">
        <v>11</v>
      </c>
      <c r="D725" s="69">
        <f>E725+F725+G725+H725+I725+J725+K725+L725+M725+N725+O725</f>
        <v>0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0</v>
      </c>
      <c r="L725" s="83"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15.75" x14ac:dyDescent="0.2">
      <c r="A726" s="140"/>
      <c r="B726" s="140"/>
      <c r="C726" s="94" t="s">
        <v>12</v>
      </c>
      <c r="D726" s="69">
        <f t="shared" si="402"/>
        <v>9089.0000000000018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f>5000-2261.6-2056+2056</f>
        <v>2738.4</v>
      </c>
      <c r="L726" s="83">
        <f>735.3+600+1300</f>
        <v>2635.3</v>
      </c>
      <c r="M726" s="83">
        <f>779.7+352.4+3283-110-2315.4-1381.1+2315.4-200-150-1193.4+613.1</f>
        <v>1993.7000000000003</v>
      </c>
      <c r="N726" s="83">
        <f>783.5+83.7</f>
        <v>867.2</v>
      </c>
      <c r="O726" s="83">
        <f>0+854.4</f>
        <v>854.4</v>
      </c>
      <c r="W726" s="83">
        <v>854.4</v>
      </c>
    </row>
    <row r="727" spans="1:23" ht="15.75" x14ac:dyDescent="0.2">
      <c r="A727" s="140"/>
      <c r="B727" s="140"/>
      <c r="C727" s="94" t="s">
        <v>13</v>
      </c>
      <c r="D727" s="69">
        <f t="shared" si="402"/>
        <v>0</v>
      </c>
      <c r="E727" s="83">
        <v>0</v>
      </c>
      <c r="F727" s="83">
        <v>0</v>
      </c>
      <c r="G727" s="83">
        <v>0</v>
      </c>
      <c r="H727" s="83">
        <v>0</v>
      </c>
      <c r="I727" s="83">
        <v>0</v>
      </c>
      <c r="J727" s="83">
        <v>0</v>
      </c>
      <c r="K727" s="83">
        <v>0</v>
      </c>
      <c r="L727" s="83">
        <v>0</v>
      </c>
      <c r="M727" s="83">
        <v>0</v>
      </c>
      <c r="N727" s="83">
        <v>0</v>
      </c>
      <c r="O727" s="83">
        <v>0</v>
      </c>
      <c r="W727" s="83">
        <v>0</v>
      </c>
    </row>
    <row r="728" spans="1:23" ht="15.75" customHeight="1" x14ac:dyDescent="0.2">
      <c r="A728" s="140" t="s">
        <v>397</v>
      </c>
      <c r="B728" s="140" t="s">
        <v>401</v>
      </c>
      <c r="C728" s="84" t="s">
        <v>7</v>
      </c>
      <c r="D728" s="69">
        <f t="shared" ref="D728" si="414">E728+F728+G728+H728+I728+J728+K728+L728+M728+N728+O728</f>
        <v>7545.1</v>
      </c>
      <c r="E728" s="83">
        <f>E729+E730+E731+E732</f>
        <v>0</v>
      </c>
      <c r="F728" s="83">
        <f t="shared" ref="F728:O728" si="415">F729+F730+F731+F732</f>
        <v>0</v>
      </c>
      <c r="G728" s="83">
        <f t="shared" si="415"/>
        <v>0</v>
      </c>
      <c r="H728" s="83">
        <f t="shared" si="415"/>
        <v>0</v>
      </c>
      <c r="I728" s="83">
        <f>I729+I730+I731+I732</f>
        <v>0</v>
      </c>
      <c r="J728" s="83">
        <f t="shared" si="415"/>
        <v>0</v>
      </c>
      <c r="K728" s="83">
        <f t="shared" si="415"/>
        <v>7545.1</v>
      </c>
      <c r="L728" s="83">
        <f t="shared" si="415"/>
        <v>0</v>
      </c>
      <c r="M728" s="83">
        <f t="shared" si="415"/>
        <v>0</v>
      </c>
      <c r="N728" s="83">
        <f t="shared" si="415"/>
        <v>0</v>
      </c>
      <c r="O728" s="83">
        <f t="shared" si="415"/>
        <v>0</v>
      </c>
      <c r="W728" s="83">
        <f t="shared" ref="W728" si="416">W729+W730+W731+W732</f>
        <v>0</v>
      </c>
    </row>
    <row r="729" spans="1:23" ht="15.75" x14ac:dyDescent="0.2">
      <c r="A729" s="140"/>
      <c r="B729" s="140"/>
      <c r="C729" s="94" t="s">
        <v>10</v>
      </c>
      <c r="D729" s="69">
        <f t="shared" si="402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15.75" x14ac:dyDescent="0.2">
      <c r="A730" s="140"/>
      <c r="B730" s="140"/>
      <c r="C730" s="94" t="s">
        <v>11</v>
      </c>
      <c r="D730" s="69">
        <f>E730+F730+G730+H730+I730+J730+K730+L730+M730+N730+O730</f>
        <v>0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v>0</v>
      </c>
      <c r="L730" s="83">
        <v>0</v>
      </c>
      <c r="M730" s="83">
        <v>0</v>
      </c>
      <c r="N730" s="83">
        <v>0</v>
      </c>
      <c r="O730" s="83">
        <v>0</v>
      </c>
      <c r="W730" s="83">
        <v>0</v>
      </c>
    </row>
    <row r="731" spans="1:23" ht="15.75" x14ac:dyDescent="0.2">
      <c r="A731" s="140"/>
      <c r="B731" s="140"/>
      <c r="C731" s="94" t="s">
        <v>12</v>
      </c>
      <c r="D731" s="69">
        <f t="shared" si="402"/>
        <v>7545.1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7545.1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x14ac:dyDescent="0.2">
      <c r="A732" s="140"/>
      <c r="B732" s="140"/>
      <c r="C732" s="94" t="s">
        <v>13</v>
      </c>
      <c r="D732" s="69">
        <f t="shared" si="402"/>
        <v>0</v>
      </c>
      <c r="E732" s="83">
        <v>0</v>
      </c>
      <c r="F732" s="83">
        <v>0</v>
      </c>
      <c r="G732" s="83">
        <v>0</v>
      </c>
      <c r="H732" s="83">
        <v>0</v>
      </c>
      <c r="I732" s="83">
        <v>0</v>
      </c>
      <c r="J732" s="83">
        <v>0</v>
      </c>
      <c r="K732" s="83">
        <v>0</v>
      </c>
      <c r="L732" s="83">
        <v>0</v>
      </c>
      <c r="M732" s="83">
        <v>0</v>
      </c>
      <c r="N732" s="83">
        <v>0</v>
      </c>
      <c r="O732" s="83">
        <v>0</v>
      </c>
      <c r="W732" s="83">
        <v>0</v>
      </c>
    </row>
    <row r="733" spans="1:23" ht="15.75" x14ac:dyDescent="0.2">
      <c r="A733" s="140" t="s">
        <v>431</v>
      </c>
      <c r="B733" s="140" t="s">
        <v>432</v>
      </c>
      <c r="C733" s="84" t="s">
        <v>7</v>
      </c>
      <c r="D733" s="69">
        <f t="shared" si="402"/>
        <v>3216.6999999999994</v>
      </c>
      <c r="E733" s="83">
        <f>E734+E735+E736+E737</f>
        <v>0</v>
      </c>
      <c r="F733" s="83">
        <f t="shared" ref="F733:H733" si="417">F734+F735+F736+F737</f>
        <v>0</v>
      </c>
      <c r="G733" s="83">
        <f t="shared" si="417"/>
        <v>0</v>
      </c>
      <c r="H733" s="83">
        <f t="shared" si="417"/>
        <v>0</v>
      </c>
      <c r="I733" s="83">
        <f>I734+I735+I736+I737</f>
        <v>0</v>
      </c>
      <c r="J733" s="83">
        <f t="shared" ref="J733:O733" si="418">J734+J735+J736+J737</f>
        <v>0</v>
      </c>
      <c r="K733" s="83">
        <f t="shared" si="418"/>
        <v>0</v>
      </c>
      <c r="L733" s="83">
        <f t="shared" si="418"/>
        <v>0</v>
      </c>
      <c r="M733" s="83">
        <f t="shared" si="418"/>
        <v>3216.6999999999994</v>
      </c>
      <c r="N733" s="83">
        <f t="shared" si="418"/>
        <v>0</v>
      </c>
      <c r="O733" s="83">
        <f t="shared" si="418"/>
        <v>0</v>
      </c>
      <c r="W733" s="83">
        <f t="shared" ref="W733" si="419">W734+W735+W736+W737</f>
        <v>0</v>
      </c>
    </row>
    <row r="734" spans="1:23" ht="15.75" x14ac:dyDescent="0.2">
      <c r="A734" s="140"/>
      <c r="B734" s="140"/>
      <c r="C734" s="94" t="s">
        <v>10</v>
      </c>
      <c r="D734" s="69">
        <f t="shared" ref="D734" si="420"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40"/>
      <c r="B735" s="140"/>
      <c r="C735" s="94" t="s">
        <v>11</v>
      </c>
      <c r="D735" s="69">
        <f>E735+F735+G735+H735+I735+J735+K735+L735+M735+N735+O735</f>
        <v>0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0</v>
      </c>
      <c r="L735" s="83">
        <v>0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75" x14ac:dyDescent="0.2">
      <c r="A736" s="140"/>
      <c r="B736" s="140"/>
      <c r="C736" s="94" t="s">
        <v>12</v>
      </c>
      <c r="D736" s="69">
        <f t="shared" ref="D736:D739" si="421">E736+F736+G736+H736+I736+J736+K736+L736+M736+N736+O736</f>
        <v>3216.6999999999994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f>4928.6-2120.3-2808.3</f>
        <v>0</v>
      </c>
      <c r="M736" s="83">
        <f>4343.9-0.1-1127.1</f>
        <v>3216.6999999999994</v>
      </c>
      <c r="N736" s="83">
        <v>0</v>
      </c>
      <c r="O736" s="83">
        <v>0</v>
      </c>
      <c r="W736" s="83">
        <v>0</v>
      </c>
    </row>
    <row r="737" spans="1:23" ht="25.5" customHeight="1" x14ac:dyDescent="0.2">
      <c r="A737" s="140"/>
      <c r="B737" s="140"/>
      <c r="C737" s="94" t="s">
        <v>13</v>
      </c>
      <c r="D737" s="69">
        <f t="shared" si="421"/>
        <v>0</v>
      </c>
      <c r="E737" s="83">
        <v>0</v>
      </c>
      <c r="F737" s="83">
        <v>0</v>
      </c>
      <c r="G737" s="83">
        <v>0</v>
      </c>
      <c r="H737" s="83">
        <v>0</v>
      </c>
      <c r="I737" s="83">
        <v>0</v>
      </c>
      <c r="J737" s="83">
        <v>0</v>
      </c>
      <c r="K737" s="83">
        <v>0</v>
      </c>
      <c r="L737" s="83">
        <v>0</v>
      </c>
      <c r="M737" s="83">
        <v>0</v>
      </c>
      <c r="N737" s="83">
        <v>0</v>
      </c>
      <c r="O737" s="83">
        <v>0</v>
      </c>
      <c r="W737" s="83">
        <v>0</v>
      </c>
    </row>
    <row r="738" spans="1:23" s="92" customFormat="1" ht="15.75" hidden="1" x14ac:dyDescent="0.2">
      <c r="A738" s="182" t="s">
        <v>449</v>
      </c>
      <c r="B738" s="182" t="s">
        <v>450</v>
      </c>
      <c r="C738" s="89" t="s">
        <v>7</v>
      </c>
      <c r="D738" s="90">
        <f t="shared" si="421"/>
        <v>0</v>
      </c>
      <c r="E738" s="91">
        <f>E739+E740+E741+E742</f>
        <v>0</v>
      </c>
      <c r="F738" s="91">
        <f t="shared" ref="F738:H738" si="422">F739+F740+F741+F742</f>
        <v>0</v>
      </c>
      <c r="G738" s="91">
        <f t="shared" si="422"/>
        <v>0</v>
      </c>
      <c r="H738" s="91">
        <f t="shared" si="422"/>
        <v>0</v>
      </c>
      <c r="I738" s="91">
        <f>I739+I740+I741+I742</f>
        <v>0</v>
      </c>
      <c r="J738" s="91">
        <f t="shared" ref="J738:O738" si="423">J739+J740+J741+J742</f>
        <v>0</v>
      </c>
      <c r="K738" s="91">
        <f t="shared" si="423"/>
        <v>0</v>
      </c>
      <c r="L738" s="91">
        <f t="shared" si="423"/>
        <v>0</v>
      </c>
      <c r="M738" s="91">
        <f t="shared" si="423"/>
        <v>0</v>
      </c>
      <c r="N738" s="91">
        <f t="shared" si="423"/>
        <v>0</v>
      </c>
      <c r="O738" s="91">
        <f t="shared" si="423"/>
        <v>0</v>
      </c>
      <c r="W738" s="91">
        <f t="shared" ref="W738" si="424">W739+W740+W741+W742</f>
        <v>0</v>
      </c>
    </row>
    <row r="739" spans="1:23" s="92" customFormat="1" ht="15.75" hidden="1" x14ac:dyDescent="0.2">
      <c r="A739" s="182"/>
      <c r="B739" s="182"/>
      <c r="C739" s="100" t="s">
        <v>10</v>
      </c>
      <c r="D739" s="90">
        <f t="shared" si="421"/>
        <v>0</v>
      </c>
      <c r="E739" s="91">
        <v>0</v>
      </c>
      <c r="F739" s="91">
        <v>0</v>
      </c>
      <c r="G739" s="91">
        <v>0</v>
      </c>
      <c r="H739" s="91">
        <v>0</v>
      </c>
      <c r="I739" s="91">
        <v>0</v>
      </c>
      <c r="J739" s="91">
        <v>0</v>
      </c>
      <c r="K739" s="91">
        <v>0</v>
      </c>
      <c r="L739" s="91">
        <v>0</v>
      </c>
      <c r="M739" s="91">
        <v>0</v>
      </c>
      <c r="N739" s="91">
        <v>0</v>
      </c>
      <c r="O739" s="91">
        <v>0</v>
      </c>
      <c r="W739" s="91">
        <v>0</v>
      </c>
    </row>
    <row r="740" spans="1:23" s="92" customFormat="1" ht="15.75" hidden="1" x14ac:dyDescent="0.2">
      <c r="A740" s="182"/>
      <c r="B740" s="182"/>
      <c r="C740" s="100" t="s">
        <v>11</v>
      </c>
      <c r="D740" s="90">
        <f>E740+F740+G740+H740+I740+J740+K740+L740+M740+N740+O740</f>
        <v>0</v>
      </c>
      <c r="E740" s="91">
        <v>0</v>
      </c>
      <c r="F740" s="91">
        <v>0</v>
      </c>
      <c r="G740" s="91">
        <v>0</v>
      </c>
      <c r="H740" s="91">
        <v>0</v>
      </c>
      <c r="I740" s="91">
        <v>0</v>
      </c>
      <c r="J740" s="91">
        <v>0</v>
      </c>
      <c r="K740" s="91">
        <v>0</v>
      </c>
      <c r="L740" s="91">
        <v>0</v>
      </c>
      <c r="M740" s="91">
        <f>7018.9-7018.9</f>
        <v>0</v>
      </c>
      <c r="N740" s="91">
        <v>0</v>
      </c>
      <c r="O740" s="91">
        <v>0</v>
      </c>
      <c r="W740" s="91">
        <v>0</v>
      </c>
    </row>
    <row r="741" spans="1:23" s="92" customFormat="1" ht="15.75" hidden="1" x14ac:dyDescent="0.2">
      <c r="A741" s="182"/>
      <c r="B741" s="182"/>
      <c r="C741" s="100" t="s">
        <v>12</v>
      </c>
      <c r="D741" s="90">
        <f t="shared" ref="D741:D744" si="425">E741+F741+G741+H741+I741+J741+K741+L741+M741+N741+O741</f>
        <v>0</v>
      </c>
      <c r="E741" s="91">
        <v>0</v>
      </c>
      <c r="F741" s="91">
        <v>0</v>
      </c>
      <c r="G741" s="91">
        <v>0</v>
      </c>
      <c r="H741" s="91">
        <v>0</v>
      </c>
      <c r="I741" s="91">
        <v>0</v>
      </c>
      <c r="J741" s="91">
        <v>0</v>
      </c>
      <c r="K741" s="91">
        <v>0</v>
      </c>
      <c r="L741" s="91">
        <f>4928.6-2120.3-2808.3</f>
        <v>0</v>
      </c>
      <c r="M741" s="91">
        <f>448-448</f>
        <v>0</v>
      </c>
      <c r="N741" s="91">
        <v>0</v>
      </c>
      <c r="O741" s="91">
        <v>0</v>
      </c>
      <c r="W741" s="91">
        <v>0</v>
      </c>
    </row>
    <row r="742" spans="1:23" s="92" customFormat="1" ht="34.5" hidden="1" customHeight="1" x14ac:dyDescent="0.2">
      <c r="A742" s="182"/>
      <c r="B742" s="182"/>
      <c r="C742" s="100" t="s">
        <v>13</v>
      </c>
      <c r="D742" s="90">
        <f t="shared" si="425"/>
        <v>0</v>
      </c>
      <c r="E742" s="91">
        <v>0</v>
      </c>
      <c r="F742" s="91">
        <v>0</v>
      </c>
      <c r="G742" s="91">
        <v>0</v>
      </c>
      <c r="H742" s="91">
        <v>0</v>
      </c>
      <c r="I742" s="91">
        <v>0</v>
      </c>
      <c r="J742" s="91">
        <v>0</v>
      </c>
      <c r="K742" s="91">
        <v>0</v>
      </c>
      <c r="L742" s="91">
        <v>0</v>
      </c>
      <c r="M742" s="91">
        <v>0</v>
      </c>
      <c r="N742" s="91">
        <v>0</v>
      </c>
      <c r="O742" s="91">
        <v>0</v>
      </c>
      <c r="W742" s="91">
        <v>0</v>
      </c>
    </row>
    <row r="743" spans="1:23" ht="15.75" x14ac:dyDescent="0.2">
      <c r="A743" s="140" t="s">
        <v>474</v>
      </c>
      <c r="B743" s="140" t="s">
        <v>458</v>
      </c>
      <c r="C743" s="99" t="s">
        <v>7</v>
      </c>
      <c r="D743" s="69">
        <f t="shared" si="425"/>
        <v>0</v>
      </c>
      <c r="E743" s="69">
        <f>E744+E745+E746+E747</f>
        <v>0</v>
      </c>
      <c r="F743" s="69">
        <f t="shared" ref="F743:M743" si="426">F744+F745+F746+F747</f>
        <v>0</v>
      </c>
      <c r="G743" s="69">
        <f t="shared" si="426"/>
        <v>0</v>
      </c>
      <c r="H743" s="69">
        <f t="shared" si="426"/>
        <v>0</v>
      </c>
      <c r="I743" s="69">
        <f t="shared" si="426"/>
        <v>0</v>
      </c>
      <c r="J743" s="69">
        <f t="shared" si="426"/>
        <v>0</v>
      </c>
      <c r="K743" s="69">
        <f t="shared" si="426"/>
        <v>0</v>
      </c>
      <c r="L743" s="69">
        <f t="shared" si="426"/>
        <v>0</v>
      </c>
      <c r="M743" s="69">
        <f t="shared" si="426"/>
        <v>0</v>
      </c>
      <c r="N743" s="69">
        <f>N750</f>
        <v>0</v>
      </c>
      <c r="O743" s="69">
        <f t="shared" ref="O743" si="427">O744+O745+O746+O747</f>
        <v>0</v>
      </c>
      <c r="W743" s="69">
        <f t="shared" ref="W743" si="428">W744+W745+W746+W747</f>
        <v>0</v>
      </c>
    </row>
    <row r="744" spans="1:23" ht="15.75" x14ac:dyDescent="0.2">
      <c r="A744" s="141"/>
      <c r="B744" s="140"/>
      <c r="C744" s="94" t="s">
        <v>10</v>
      </c>
      <c r="D744" s="69">
        <f t="shared" si="425"/>
        <v>0</v>
      </c>
      <c r="E744" s="69">
        <v>0</v>
      </c>
      <c r="F744" s="69">
        <v>0</v>
      </c>
      <c r="G744" s="69">
        <v>0</v>
      </c>
      <c r="H744" s="69">
        <v>0</v>
      </c>
      <c r="I744" s="69">
        <v>0</v>
      </c>
      <c r="J744" s="69">
        <v>0</v>
      </c>
      <c r="K744" s="69">
        <v>0</v>
      </c>
      <c r="L744" s="69">
        <v>0</v>
      </c>
      <c r="M744" s="69">
        <v>0</v>
      </c>
      <c r="N744" s="69">
        <v>0</v>
      </c>
      <c r="O744" s="69">
        <v>0</v>
      </c>
      <c r="W744" s="69">
        <v>0</v>
      </c>
    </row>
    <row r="745" spans="1:23" ht="15.75" x14ac:dyDescent="0.2">
      <c r="A745" s="141"/>
      <c r="B745" s="140"/>
      <c r="C745" s="94" t="s">
        <v>11</v>
      </c>
      <c r="D745" s="69">
        <f>E745+F745+G745+H745+I745+J745+K745+L745+M745+N745+O745</f>
        <v>0</v>
      </c>
      <c r="E745" s="69">
        <v>0</v>
      </c>
      <c r="F745" s="69">
        <v>0</v>
      </c>
      <c r="G745" s="69">
        <v>0</v>
      </c>
      <c r="H745" s="69">
        <v>0</v>
      </c>
      <c r="I745" s="69">
        <v>0</v>
      </c>
      <c r="J745" s="69">
        <v>0</v>
      </c>
      <c r="K745" s="69">
        <v>0</v>
      </c>
      <c r="L745" s="69">
        <v>0</v>
      </c>
      <c r="M745" s="69">
        <f>M750</f>
        <v>0</v>
      </c>
      <c r="N745" s="69">
        <f>N750</f>
        <v>0</v>
      </c>
      <c r="O745" s="69">
        <v>0</v>
      </c>
      <c r="W745" s="69">
        <v>0</v>
      </c>
    </row>
    <row r="746" spans="1:23" ht="15.75" x14ac:dyDescent="0.2">
      <c r="A746" s="141"/>
      <c r="B746" s="140"/>
      <c r="C746" s="94" t="s">
        <v>12</v>
      </c>
      <c r="D746" s="69">
        <f t="shared" ref="D746:D749" si="429">E746+F746+G746+H746+I746+J746+K746+L746+M746+N746+O746</f>
        <v>0</v>
      </c>
      <c r="E746" s="69">
        <v>0</v>
      </c>
      <c r="F746" s="69">
        <v>0</v>
      </c>
      <c r="G746" s="69">
        <v>0</v>
      </c>
      <c r="H746" s="69">
        <v>0</v>
      </c>
      <c r="I746" s="69">
        <v>0</v>
      </c>
      <c r="J746" s="69">
        <v>0</v>
      </c>
      <c r="K746" s="69">
        <v>0</v>
      </c>
      <c r="L746" s="69">
        <v>0</v>
      </c>
      <c r="M746" s="69">
        <f>M751</f>
        <v>0</v>
      </c>
      <c r="N746" s="69">
        <f>N751</f>
        <v>0</v>
      </c>
      <c r="O746" s="69">
        <v>0</v>
      </c>
      <c r="W746" s="69">
        <v>0</v>
      </c>
    </row>
    <row r="747" spans="1:23" ht="30.75" customHeight="1" x14ac:dyDescent="0.2">
      <c r="A747" s="141"/>
      <c r="B747" s="140"/>
      <c r="C747" s="94" t="s">
        <v>13</v>
      </c>
      <c r="D747" s="69">
        <f t="shared" si="429"/>
        <v>0</v>
      </c>
      <c r="E747" s="69">
        <v>0</v>
      </c>
      <c r="F747" s="69">
        <v>0</v>
      </c>
      <c r="G747" s="69">
        <v>0</v>
      </c>
      <c r="H747" s="69">
        <v>0</v>
      </c>
      <c r="I747" s="69">
        <v>0</v>
      </c>
      <c r="J747" s="69">
        <v>0</v>
      </c>
      <c r="K747" s="69">
        <v>0</v>
      </c>
      <c r="L747" s="69">
        <v>0</v>
      </c>
      <c r="M747" s="69">
        <v>0</v>
      </c>
      <c r="N747" s="69">
        <v>0</v>
      </c>
      <c r="O747" s="69">
        <v>0</v>
      </c>
      <c r="W747" s="69">
        <v>0</v>
      </c>
    </row>
    <row r="748" spans="1:23" ht="15.75" x14ac:dyDescent="0.2">
      <c r="A748" s="140" t="s">
        <v>475</v>
      </c>
      <c r="B748" s="140" t="s">
        <v>461</v>
      </c>
      <c r="C748" s="99" t="s">
        <v>7</v>
      </c>
      <c r="D748" s="69">
        <f t="shared" si="429"/>
        <v>0</v>
      </c>
      <c r="E748" s="69">
        <f>E749+E750+E751+E752</f>
        <v>0</v>
      </c>
      <c r="F748" s="69">
        <f t="shared" ref="F748:O748" si="430">F749+F750+F751+F752</f>
        <v>0</v>
      </c>
      <c r="G748" s="69">
        <f t="shared" si="430"/>
        <v>0</v>
      </c>
      <c r="H748" s="69">
        <f t="shared" si="430"/>
        <v>0</v>
      </c>
      <c r="I748" s="69">
        <f t="shared" si="430"/>
        <v>0</v>
      </c>
      <c r="J748" s="69">
        <f t="shared" si="430"/>
        <v>0</v>
      </c>
      <c r="K748" s="69">
        <f t="shared" si="430"/>
        <v>0</v>
      </c>
      <c r="L748" s="69">
        <f t="shared" si="430"/>
        <v>0</v>
      </c>
      <c r="M748" s="69">
        <f t="shared" si="430"/>
        <v>0</v>
      </c>
      <c r="N748" s="69">
        <f t="shared" si="430"/>
        <v>0</v>
      </c>
      <c r="O748" s="69">
        <f t="shared" si="430"/>
        <v>0</v>
      </c>
      <c r="W748" s="69">
        <f t="shared" ref="W748" si="431">W749+W750+W751+W752</f>
        <v>0</v>
      </c>
    </row>
    <row r="749" spans="1:23" ht="15.75" x14ac:dyDescent="0.2">
      <c r="A749" s="141"/>
      <c r="B749" s="140"/>
      <c r="C749" s="94" t="s">
        <v>10</v>
      </c>
      <c r="D749" s="69">
        <f t="shared" si="429"/>
        <v>0</v>
      </c>
      <c r="E749" s="69">
        <v>0</v>
      </c>
      <c r="F749" s="69">
        <v>0</v>
      </c>
      <c r="G749" s="69">
        <v>0</v>
      </c>
      <c r="H749" s="69">
        <v>0</v>
      </c>
      <c r="I749" s="69">
        <v>0</v>
      </c>
      <c r="J749" s="69">
        <v>0</v>
      </c>
      <c r="K749" s="69">
        <v>0</v>
      </c>
      <c r="L749" s="69">
        <v>0</v>
      </c>
      <c r="M749" s="69">
        <v>0</v>
      </c>
      <c r="N749" s="69">
        <v>0</v>
      </c>
      <c r="O749" s="69">
        <v>0</v>
      </c>
      <c r="W749" s="69">
        <v>0</v>
      </c>
    </row>
    <row r="750" spans="1:23" ht="15.75" x14ac:dyDescent="0.2">
      <c r="A750" s="141"/>
      <c r="B750" s="140"/>
      <c r="C750" s="94" t="s">
        <v>11</v>
      </c>
      <c r="D750" s="69">
        <f>E750+F750+G750+H750+I750+J750+K750+L750+M750+N750+O750</f>
        <v>0</v>
      </c>
      <c r="E750" s="69">
        <v>0</v>
      </c>
      <c r="F750" s="69">
        <v>0</v>
      </c>
      <c r="G750" s="69">
        <v>0</v>
      </c>
      <c r="H750" s="69">
        <v>0</v>
      </c>
      <c r="I750" s="69">
        <v>0</v>
      </c>
      <c r="J750" s="69">
        <v>0</v>
      </c>
      <c r="K750" s="69">
        <v>0</v>
      </c>
      <c r="L750" s="69">
        <v>0</v>
      </c>
      <c r="M750" s="69">
        <v>0</v>
      </c>
      <c r="N750" s="69">
        <f>28900-28900</f>
        <v>0</v>
      </c>
      <c r="O750" s="69">
        <v>0</v>
      </c>
      <c r="W750" s="69">
        <v>0</v>
      </c>
    </row>
    <row r="751" spans="1:23" ht="15.75" x14ac:dyDescent="0.2">
      <c r="A751" s="141"/>
      <c r="B751" s="140"/>
      <c r="C751" s="94" t="s">
        <v>12</v>
      </c>
      <c r="D751" s="69">
        <f t="shared" ref="D751:D757" si="432">E751+F751+G751+H751+I751+J751+K751+L751+M751+N751+O751</f>
        <v>0</v>
      </c>
      <c r="E751" s="69">
        <v>0</v>
      </c>
      <c r="F751" s="69">
        <v>0</v>
      </c>
      <c r="G751" s="69">
        <v>0</v>
      </c>
      <c r="H751" s="69">
        <v>0</v>
      </c>
      <c r="I751" s="69">
        <v>0</v>
      </c>
      <c r="J751" s="69">
        <v>0</v>
      </c>
      <c r="K751" s="69">
        <v>0</v>
      </c>
      <c r="L751" s="69">
        <v>0</v>
      </c>
      <c r="M751" s="69">
        <v>0</v>
      </c>
      <c r="N751" s="69">
        <v>0</v>
      </c>
      <c r="O751" s="69">
        <v>0</v>
      </c>
      <c r="W751" s="69">
        <v>0</v>
      </c>
    </row>
    <row r="752" spans="1:23" ht="32.25" customHeight="1" x14ac:dyDescent="0.2">
      <c r="A752" s="141"/>
      <c r="B752" s="140"/>
      <c r="C752" s="94" t="s">
        <v>13</v>
      </c>
      <c r="D752" s="69">
        <f t="shared" si="432"/>
        <v>0</v>
      </c>
      <c r="E752" s="69">
        <v>0</v>
      </c>
      <c r="F752" s="69">
        <v>0</v>
      </c>
      <c r="G752" s="69">
        <v>0</v>
      </c>
      <c r="H752" s="69">
        <v>0</v>
      </c>
      <c r="I752" s="69">
        <v>0</v>
      </c>
      <c r="J752" s="69">
        <v>0</v>
      </c>
      <c r="K752" s="69">
        <v>0</v>
      </c>
      <c r="L752" s="69">
        <v>0</v>
      </c>
      <c r="M752" s="69">
        <v>0</v>
      </c>
      <c r="N752" s="69">
        <v>0</v>
      </c>
      <c r="O752" s="69">
        <v>0</v>
      </c>
      <c r="W752" s="69">
        <v>0</v>
      </c>
    </row>
    <row r="753" spans="1:23" ht="47.25" customHeight="1" x14ac:dyDescent="0.2">
      <c r="A753" s="134" t="s">
        <v>473</v>
      </c>
      <c r="B753" s="134" t="s">
        <v>462</v>
      </c>
      <c r="C753" s="94" t="s">
        <v>7</v>
      </c>
      <c r="D753" s="69">
        <f t="shared" si="432"/>
        <v>1923.2</v>
      </c>
      <c r="E753" s="69">
        <f>E754+E755+E756+E757</f>
        <v>0</v>
      </c>
      <c r="F753" s="69">
        <f t="shared" ref="F753:O753" si="433">F754+F755+F756+F757</f>
        <v>0</v>
      </c>
      <c r="G753" s="69">
        <f t="shared" si="433"/>
        <v>0</v>
      </c>
      <c r="H753" s="69">
        <f t="shared" si="433"/>
        <v>0</v>
      </c>
      <c r="I753" s="69">
        <f t="shared" si="433"/>
        <v>0</v>
      </c>
      <c r="J753" s="69">
        <f t="shared" si="433"/>
        <v>0</v>
      </c>
      <c r="K753" s="69">
        <f t="shared" si="433"/>
        <v>0</v>
      </c>
      <c r="L753" s="69">
        <f t="shared" si="433"/>
        <v>0</v>
      </c>
      <c r="M753" s="69">
        <f t="shared" si="433"/>
        <v>1923.2</v>
      </c>
      <c r="N753" s="69">
        <f t="shared" si="433"/>
        <v>0</v>
      </c>
      <c r="O753" s="69">
        <f t="shared" si="433"/>
        <v>0</v>
      </c>
      <c r="W753" s="69">
        <f t="shared" ref="W753" si="434">W754+W755+W756+W757</f>
        <v>0</v>
      </c>
    </row>
    <row r="754" spans="1:23" ht="18.75" customHeight="1" x14ac:dyDescent="0.2">
      <c r="A754" s="135"/>
      <c r="B754" s="135"/>
      <c r="C754" s="94" t="s">
        <v>10</v>
      </c>
      <c r="D754" s="69">
        <f t="shared" si="432"/>
        <v>0</v>
      </c>
      <c r="E754" s="69">
        <v>0</v>
      </c>
      <c r="F754" s="69">
        <v>0</v>
      </c>
      <c r="G754" s="69">
        <v>0</v>
      </c>
      <c r="H754" s="69">
        <v>0</v>
      </c>
      <c r="I754" s="69">
        <v>0</v>
      </c>
      <c r="J754" s="69">
        <v>0</v>
      </c>
      <c r="K754" s="69">
        <v>0</v>
      </c>
      <c r="L754" s="69">
        <v>0</v>
      </c>
      <c r="M754" s="69">
        <v>0</v>
      </c>
      <c r="N754" s="69">
        <v>0</v>
      </c>
      <c r="O754" s="69">
        <v>0</v>
      </c>
      <c r="W754" s="69">
        <v>0</v>
      </c>
    </row>
    <row r="755" spans="1:23" ht="18.75" customHeight="1" x14ac:dyDescent="0.2">
      <c r="A755" s="135"/>
      <c r="B755" s="135"/>
      <c r="C755" s="94" t="s">
        <v>11</v>
      </c>
      <c r="D755" s="69">
        <f t="shared" si="432"/>
        <v>0</v>
      </c>
      <c r="E755" s="69">
        <v>0</v>
      </c>
      <c r="F755" s="69">
        <v>0</v>
      </c>
      <c r="G755" s="69">
        <v>0</v>
      </c>
      <c r="H755" s="69">
        <v>0</v>
      </c>
      <c r="I755" s="69">
        <v>0</v>
      </c>
      <c r="J755" s="69">
        <v>0</v>
      </c>
      <c r="K755" s="69">
        <v>0</v>
      </c>
      <c r="L755" s="69">
        <v>0</v>
      </c>
      <c r="M755" s="69">
        <v>0</v>
      </c>
      <c r="N755" s="69">
        <v>0</v>
      </c>
      <c r="O755" s="69">
        <v>0</v>
      </c>
      <c r="W755" s="69">
        <v>0</v>
      </c>
    </row>
    <row r="756" spans="1:23" ht="18.75" customHeight="1" x14ac:dyDescent="0.2">
      <c r="A756" s="135"/>
      <c r="B756" s="135"/>
      <c r="C756" s="94" t="s">
        <v>12</v>
      </c>
      <c r="D756" s="69">
        <f t="shared" si="432"/>
        <v>1923.2</v>
      </c>
      <c r="E756" s="69">
        <v>0</v>
      </c>
      <c r="F756" s="69">
        <v>0</v>
      </c>
      <c r="G756" s="69">
        <v>0</v>
      </c>
      <c r="H756" s="69">
        <v>0</v>
      </c>
      <c r="I756" s="69">
        <v>0</v>
      </c>
      <c r="J756" s="69">
        <v>0</v>
      </c>
      <c r="K756" s="69">
        <v>0</v>
      </c>
      <c r="L756" s="69">
        <v>0</v>
      </c>
      <c r="M756" s="57">
        <f>1923.2-1923.2+1923.2</f>
        <v>1923.2</v>
      </c>
      <c r="N756" s="69">
        <v>0</v>
      </c>
      <c r="O756" s="69">
        <v>0</v>
      </c>
      <c r="W756" s="69">
        <v>0</v>
      </c>
    </row>
    <row r="757" spans="1:23" ht="30.75" customHeight="1" x14ac:dyDescent="0.2">
      <c r="A757" s="136"/>
      <c r="B757" s="136"/>
      <c r="C757" s="94" t="s">
        <v>13</v>
      </c>
      <c r="D757" s="69">
        <f t="shared" si="432"/>
        <v>0</v>
      </c>
      <c r="E757" s="69">
        <v>0</v>
      </c>
      <c r="F757" s="69">
        <v>0</v>
      </c>
      <c r="G757" s="69">
        <v>0</v>
      </c>
      <c r="H757" s="69">
        <v>0</v>
      </c>
      <c r="I757" s="69">
        <v>0</v>
      </c>
      <c r="J757" s="69">
        <v>0</v>
      </c>
      <c r="K757" s="69">
        <v>0</v>
      </c>
      <c r="L757" s="69">
        <v>0</v>
      </c>
      <c r="M757" s="69">
        <v>0</v>
      </c>
      <c r="N757" s="69">
        <v>0</v>
      </c>
      <c r="O757" s="69">
        <v>0</v>
      </c>
      <c r="W757" s="69">
        <v>0</v>
      </c>
    </row>
    <row r="758" spans="1:23" s="92" customFormat="1" ht="18.75" hidden="1" customHeight="1" x14ac:dyDescent="0.2">
      <c r="A758" s="176" t="s">
        <v>470</v>
      </c>
      <c r="B758" s="179" t="s">
        <v>463</v>
      </c>
      <c r="C758" s="100" t="s">
        <v>7</v>
      </c>
      <c r="D758" s="90">
        <f t="shared" ref="D758:D762" si="435">E758+F758+G758+H758+I758+J758+K758+L758+M758+N758+O758</f>
        <v>0</v>
      </c>
      <c r="E758" s="90">
        <f>E759+E760+E761+E762</f>
        <v>0</v>
      </c>
      <c r="F758" s="90">
        <f t="shared" ref="F758:O758" si="436">F759+F760+F761+F762</f>
        <v>0</v>
      </c>
      <c r="G758" s="90">
        <f t="shared" si="436"/>
        <v>0</v>
      </c>
      <c r="H758" s="90">
        <f t="shared" si="436"/>
        <v>0</v>
      </c>
      <c r="I758" s="90">
        <f t="shared" si="436"/>
        <v>0</v>
      </c>
      <c r="J758" s="90">
        <f t="shared" si="436"/>
        <v>0</v>
      </c>
      <c r="K758" s="90">
        <f t="shared" si="436"/>
        <v>0</v>
      </c>
      <c r="L758" s="90">
        <f t="shared" si="436"/>
        <v>0</v>
      </c>
      <c r="M758" s="90">
        <f t="shared" si="436"/>
        <v>0</v>
      </c>
      <c r="N758" s="90">
        <f t="shared" si="436"/>
        <v>0</v>
      </c>
      <c r="O758" s="90">
        <f t="shared" si="436"/>
        <v>0</v>
      </c>
      <c r="W758" s="90">
        <f t="shared" ref="W758" si="437">W759+W760+W761+W762</f>
        <v>0</v>
      </c>
    </row>
    <row r="759" spans="1:23" s="92" customFormat="1" ht="18.75" hidden="1" customHeight="1" x14ac:dyDescent="0.2">
      <c r="A759" s="177"/>
      <c r="B759" s="180"/>
      <c r="C759" s="100" t="s">
        <v>10</v>
      </c>
      <c r="D759" s="90">
        <f t="shared" si="435"/>
        <v>0</v>
      </c>
      <c r="E759" s="90">
        <v>0</v>
      </c>
      <c r="F759" s="90">
        <v>0</v>
      </c>
      <c r="G759" s="90">
        <v>0</v>
      </c>
      <c r="H759" s="90">
        <v>0</v>
      </c>
      <c r="I759" s="90">
        <v>0</v>
      </c>
      <c r="J759" s="90">
        <v>0</v>
      </c>
      <c r="K759" s="90">
        <v>0</v>
      </c>
      <c r="L759" s="90">
        <v>0</v>
      </c>
      <c r="M759" s="90">
        <v>0</v>
      </c>
      <c r="N759" s="90">
        <v>0</v>
      </c>
      <c r="O759" s="90">
        <v>0</v>
      </c>
      <c r="W759" s="90">
        <v>0</v>
      </c>
    </row>
    <row r="760" spans="1:23" s="92" customFormat="1" ht="18.75" hidden="1" customHeight="1" x14ac:dyDescent="0.2">
      <c r="A760" s="177"/>
      <c r="B760" s="180"/>
      <c r="C760" s="100" t="s">
        <v>11</v>
      </c>
      <c r="D760" s="90">
        <f t="shared" si="435"/>
        <v>0</v>
      </c>
      <c r="E760" s="90">
        <v>0</v>
      </c>
      <c r="F760" s="90">
        <v>0</v>
      </c>
      <c r="G760" s="90">
        <v>0</v>
      </c>
      <c r="H760" s="90">
        <v>0</v>
      </c>
      <c r="I760" s="90">
        <v>0</v>
      </c>
      <c r="J760" s="90">
        <v>0</v>
      </c>
      <c r="K760" s="90">
        <v>0</v>
      </c>
      <c r="L760" s="90">
        <v>0</v>
      </c>
      <c r="M760" s="90">
        <v>0</v>
      </c>
      <c r="N760" s="90">
        <v>0</v>
      </c>
      <c r="O760" s="90">
        <v>0</v>
      </c>
      <c r="W760" s="90">
        <v>0</v>
      </c>
    </row>
    <row r="761" spans="1:23" s="92" customFormat="1" ht="18.75" hidden="1" customHeight="1" x14ac:dyDescent="0.2">
      <c r="A761" s="177"/>
      <c r="B761" s="180"/>
      <c r="C761" s="100" t="s">
        <v>12</v>
      </c>
      <c r="D761" s="90">
        <f t="shared" si="435"/>
        <v>0</v>
      </c>
      <c r="E761" s="90">
        <v>0</v>
      </c>
      <c r="F761" s="90">
        <v>0</v>
      </c>
      <c r="G761" s="90">
        <v>0</v>
      </c>
      <c r="H761" s="90">
        <v>0</v>
      </c>
      <c r="I761" s="90">
        <v>0</v>
      </c>
      <c r="J761" s="90">
        <v>0</v>
      </c>
      <c r="K761" s="90">
        <v>0</v>
      </c>
      <c r="L761" s="90">
        <v>0</v>
      </c>
      <c r="M761" s="90">
        <v>0</v>
      </c>
      <c r="N761" s="90">
        <f>2592.8-2592.8</f>
        <v>0</v>
      </c>
      <c r="O761" s="90">
        <v>0</v>
      </c>
      <c r="W761" s="90">
        <v>0</v>
      </c>
    </row>
    <row r="762" spans="1:23" s="92" customFormat="1" ht="36.75" hidden="1" customHeight="1" x14ac:dyDescent="0.2">
      <c r="A762" s="178"/>
      <c r="B762" s="181"/>
      <c r="C762" s="100" t="s">
        <v>13</v>
      </c>
      <c r="D762" s="90">
        <f t="shared" si="435"/>
        <v>0</v>
      </c>
      <c r="E762" s="90">
        <v>0</v>
      </c>
      <c r="F762" s="90">
        <v>0</v>
      </c>
      <c r="G762" s="90">
        <v>0</v>
      </c>
      <c r="H762" s="90">
        <v>0</v>
      </c>
      <c r="I762" s="90">
        <v>0</v>
      </c>
      <c r="J762" s="90">
        <v>0</v>
      </c>
      <c r="K762" s="90">
        <v>0</v>
      </c>
      <c r="L762" s="90">
        <v>0</v>
      </c>
      <c r="M762" s="90">
        <v>0</v>
      </c>
      <c r="N762" s="90">
        <v>0</v>
      </c>
      <c r="O762" s="90">
        <v>0</v>
      </c>
      <c r="W762" s="90">
        <v>0</v>
      </c>
    </row>
    <row r="763" spans="1:23" ht="15.75" x14ac:dyDescent="0.2">
      <c r="A763" s="134" t="s">
        <v>282</v>
      </c>
      <c r="B763" s="140" t="s">
        <v>283</v>
      </c>
      <c r="C763" s="94" t="s">
        <v>7</v>
      </c>
      <c r="D763" s="69">
        <f t="shared" si="385"/>
        <v>990133.30000000016</v>
      </c>
      <c r="E763" s="69">
        <f t="shared" ref="E763:O763" si="438">E764+E765+E767+E769</f>
        <v>0</v>
      </c>
      <c r="F763" s="69">
        <f t="shared" si="438"/>
        <v>0</v>
      </c>
      <c r="G763" s="69">
        <f t="shared" si="438"/>
        <v>0</v>
      </c>
      <c r="H763" s="69">
        <f t="shared" si="438"/>
        <v>0</v>
      </c>
      <c r="I763" s="69">
        <f t="shared" si="438"/>
        <v>52500</v>
      </c>
      <c r="J763" s="69">
        <f>J764+J765+J767+J769</f>
        <v>227517.2</v>
      </c>
      <c r="K763" s="69">
        <f t="shared" si="438"/>
        <v>393667.4</v>
      </c>
      <c r="L763" s="69">
        <f t="shared" si="438"/>
        <v>208770.3</v>
      </c>
      <c r="M763" s="69">
        <f t="shared" si="438"/>
        <v>94734.8</v>
      </c>
      <c r="N763" s="69">
        <f t="shared" si="438"/>
        <v>12943.6</v>
      </c>
      <c r="O763" s="69">
        <f t="shared" si="438"/>
        <v>0</v>
      </c>
      <c r="W763" s="69">
        <f t="shared" ref="W763" si="439">W764+W765+W767+W769</f>
        <v>0</v>
      </c>
    </row>
    <row r="764" spans="1:23" ht="15.75" x14ac:dyDescent="0.2">
      <c r="A764" s="148"/>
      <c r="B764" s="142"/>
      <c r="C764" s="94" t="s">
        <v>10</v>
      </c>
      <c r="D764" s="69">
        <f t="shared" si="385"/>
        <v>0</v>
      </c>
      <c r="E764" s="69">
        <f>E771</f>
        <v>0</v>
      </c>
      <c r="F764" s="69">
        <f t="shared" ref="F764:K764" si="440">F771</f>
        <v>0</v>
      </c>
      <c r="G764" s="69">
        <f t="shared" si="440"/>
        <v>0</v>
      </c>
      <c r="H764" s="69">
        <f t="shared" si="440"/>
        <v>0</v>
      </c>
      <c r="I764" s="69">
        <f t="shared" si="440"/>
        <v>0</v>
      </c>
      <c r="J764" s="69">
        <f>J771</f>
        <v>0</v>
      </c>
      <c r="K764" s="69">
        <f t="shared" si="440"/>
        <v>0</v>
      </c>
      <c r="L764" s="69">
        <f>L804+L814+L826+L842+L853+L860</f>
        <v>0</v>
      </c>
      <c r="M764" s="69">
        <f>M804+M814+M826+M842+M853+M860</f>
        <v>0</v>
      </c>
      <c r="N764" s="69">
        <f>N804+N814+N826+N842+N853+N860</f>
        <v>0</v>
      </c>
      <c r="O764" s="69">
        <f>O804+O814+O826+O842+O853+O860</f>
        <v>0</v>
      </c>
      <c r="W764" s="69">
        <f>W804+W814+W826+W842+W853+W860</f>
        <v>0</v>
      </c>
    </row>
    <row r="765" spans="1:23" ht="31.5" x14ac:dyDescent="0.2">
      <c r="A765" s="148"/>
      <c r="B765" s="142"/>
      <c r="C765" s="94" t="s">
        <v>69</v>
      </c>
      <c r="D765" s="69">
        <f t="shared" si="385"/>
        <v>919561.10000000009</v>
      </c>
      <c r="E765" s="69">
        <f t="shared" ref="E765:O765" si="441">E772</f>
        <v>0</v>
      </c>
      <c r="F765" s="69">
        <f t="shared" si="441"/>
        <v>0</v>
      </c>
      <c r="G765" s="69">
        <f t="shared" si="441"/>
        <v>0</v>
      </c>
      <c r="H765" s="69">
        <f t="shared" si="441"/>
        <v>0</v>
      </c>
      <c r="I765" s="69">
        <f t="shared" si="441"/>
        <v>50000</v>
      </c>
      <c r="J765" s="69">
        <f>J772</f>
        <v>213866.1</v>
      </c>
      <c r="K765" s="69">
        <f t="shared" si="441"/>
        <v>368985.2</v>
      </c>
      <c r="L765" s="69">
        <f t="shared" si="441"/>
        <v>195620.5</v>
      </c>
      <c r="M765" s="69">
        <f t="shared" si="441"/>
        <v>78922.3</v>
      </c>
      <c r="N765" s="69">
        <f t="shared" si="441"/>
        <v>12167</v>
      </c>
      <c r="O765" s="69">
        <f t="shared" si="441"/>
        <v>0</v>
      </c>
      <c r="W765" s="69">
        <f t="shared" ref="W765" si="442">W772</f>
        <v>0</v>
      </c>
    </row>
    <row r="766" spans="1:23" ht="31.5" x14ac:dyDescent="0.2">
      <c r="A766" s="148"/>
      <c r="B766" s="142"/>
      <c r="C766" s="72" t="s">
        <v>81</v>
      </c>
      <c r="D766" s="71">
        <f t="shared" ref="D766" si="443">E766+F766+G766+H766+I766+J766+K766+L766+M766+N766+O766</f>
        <v>8579.9</v>
      </c>
      <c r="E766" s="71">
        <v>0</v>
      </c>
      <c r="F766" s="71">
        <v>0</v>
      </c>
      <c r="G766" s="71">
        <v>0</v>
      </c>
      <c r="H766" s="71">
        <v>0</v>
      </c>
      <c r="I766" s="71">
        <v>0</v>
      </c>
      <c r="J766" s="71">
        <v>0</v>
      </c>
      <c r="K766" s="71">
        <v>0</v>
      </c>
      <c r="L766" s="71">
        <v>0</v>
      </c>
      <c r="M766" s="71">
        <f>M773</f>
        <v>8579.9</v>
      </c>
      <c r="N766" s="69">
        <v>0</v>
      </c>
      <c r="O766" s="69">
        <v>0</v>
      </c>
      <c r="W766" s="69">
        <v>0</v>
      </c>
    </row>
    <row r="767" spans="1:23" ht="31.5" x14ac:dyDescent="0.2">
      <c r="A767" s="148"/>
      <c r="B767" s="142"/>
      <c r="C767" s="94" t="s">
        <v>65</v>
      </c>
      <c r="D767" s="69">
        <f t="shared" ref="D767:D779" si="444">E767+F767+G767+H767+I767+J767+K767+L767+M767+N767+O767</f>
        <v>70572.200000000012</v>
      </c>
      <c r="E767" s="69">
        <f t="shared" ref="E767:O767" si="445">E774</f>
        <v>0</v>
      </c>
      <c r="F767" s="69">
        <f t="shared" si="445"/>
        <v>0</v>
      </c>
      <c r="G767" s="69">
        <f t="shared" si="445"/>
        <v>0</v>
      </c>
      <c r="H767" s="69">
        <f t="shared" si="445"/>
        <v>0</v>
      </c>
      <c r="I767" s="69">
        <f t="shared" si="445"/>
        <v>2500</v>
      </c>
      <c r="J767" s="69">
        <f>J774</f>
        <v>13651.1</v>
      </c>
      <c r="K767" s="69">
        <f t="shared" si="445"/>
        <v>24682.2</v>
      </c>
      <c r="L767" s="69">
        <f t="shared" si="445"/>
        <v>13149.8</v>
      </c>
      <c r="M767" s="69">
        <f>M774</f>
        <v>15812.5</v>
      </c>
      <c r="N767" s="69">
        <f t="shared" si="445"/>
        <v>776.6</v>
      </c>
      <c r="O767" s="69">
        <f t="shared" si="445"/>
        <v>0</v>
      </c>
      <c r="W767" s="69">
        <f t="shared" ref="W767" si="446">W774</f>
        <v>0</v>
      </c>
    </row>
    <row r="768" spans="1:23" ht="31.5" x14ac:dyDescent="0.2">
      <c r="A768" s="148"/>
      <c r="B768" s="142"/>
      <c r="C768" s="72" t="s">
        <v>448</v>
      </c>
      <c r="D768" s="71">
        <f t="shared" ref="D768" si="447">E768+F768+G768+H768+I768+J768+K768+L768+M768+N768+O768</f>
        <v>547.70000000000005</v>
      </c>
      <c r="E768" s="71">
        <v>0</v>
      </c>
      <c r="F768" s="71">
        <v>0</v>
      </c>
      <c r="G768" s="71">
        <v>0</v>
      </c>
      <c r="H768" s="71">
        <v>0</v>
      </c>
      <c r="I768" s="71">
        <v>0</v>
      </c>
      <c r="J768" s="71">
        <v>0</v>
      </c>
      <c r="K768" s="71">
        <v>0</v>
      </c>
      <c r="L768" s="71">
        <v>0</v>
      </c>
      <c r="M768" s="71">
        <f>M775</f>
        <v>547.70000000000005</v>
      </c>
      <c r="N768" s="71">
        <v>0</v>
      </c>
      <c r="O768" s="71">
        <v>0</v>
      </c>
      <c r="W768" s="71">
        <v>0</v>
      </c>
    </row>
    <row r="769" spans="1:23" ht="33" customHeight="1" x14ac:dyDescent="0.2">
      <c r="A769" s="149"/>
      <c r="B769" s="142"/>
      <c r="C769" s="94" t="s">
        <v>13</v>
      </c>
      <c r="D769" s="69">
        <f t="shared" si="444"/>
        <v>0</v>
      </c>
      <c r="E769" s="69">
        <f t="shared" ref="E769:K769" si="448">E776</f>
        <v>0</v>
      </c>
      <c r="F769" s="69">
        <f t="shared" si="448"/>
        <v>0</v>
      </c>
      <c r="G769" s="69">
        <f t="shared" si="448"/>
        <v>0</v>
      </c>
      <c r="H769" s="69">
        <f t="shared" si="448"/>
        <v>0</v>
      </c>
      <c r="I769" s="69">
        <f t="shared" si="448"/>
        <v>0</v>
      </c>
      <c r="J769" s="69">
        <f>J776</f>
        <v>0</v>
      </c>
      <c r="K769" s="69">
        <f t="shared" si="448"/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5.75" x14ac:dyDescent="0.2">
      <c r="A770" s="140" t="s">
        <v>284</v>
      </c>
      <c r="B770" s="140" t="s">
        <v>285</v>
      </c>
      <c r="C770" s="94" t="s">
        <v>7</v>
      </c>
      <c r="D770" s="69">
        <f t="shared" si="444"/>
        <v>990133.30000000016</v>
      </c>
      <c r="E770" s="69">
        <f t="shared" ref="E770:J770" si="449">E771+E772+E774+E776</f>
        <v>0</v>
      </c>
      <c r="F770" s="69">
        <f t="shared" si="449"/>
        <v>0</v>
      </c>
      <c r="G770" s="69">
        <f t="shared" si="449"/>
        <v>0</v>
      </c>
      <c r="H770" s="69">
        <f t="shared" si="449"/>
        <v>0</v>
      </c>
      <c r="I770" s="69">
        <f t="shared" si="449"/>
        <v>52500</v>
      </c>
      <c r="J770" s="69">
        <f t="shared" si="449"/>
        <v>227517.2</v>
      </c>
      <c r="K770" s="69">
        <f>K771+K772+K774+K776</f>
        <v>393667.4</v>
      </c>
      <c r="L770" s="69">
        <f t="shared" ref="L770:O770" si="450">L771+L772+L774+L776</f>
        <v>208770.3</v>
      </c>
      <c r="M770" s="69">
        <f>M771+M772+M774+M776</f>
        <v>94734.8</v>
      </c>
      <c r="N770" s="69">
        <f t="shared" si="450"/>
        <v>12943.6</v>
      </c>
      <c r="O770" s="69">
        <f t="shared" si="450"/>
        <v>0</v>
      </c>
      <c r="W770" s="69">
        <f t="shared" ref="W770" si="451">W771+W772+W774+W776</f>
        <v>0</v>
      </c>
    </row>
    <row r="771" spans="1:23" ht="15.75" x14ac:dyDescent="0.2">
      <c r="A771" s="140"/>
      <c r="B771" s="140"/>
      <c r="C771" s="94" t="s">
        <v>10</v>
      </c>
      <c r="D771" s="69">
        <f t="shared" si="444"/>
        <v>0</v>
      </c>
      <c r="E771" s="69">
        <f t="shared" ref="E771:K771" si="452">E809+E820+E831+E847+E858+E865</f>
        <v>0</v>
      </c>
      <c r="F771" s="69">
        <f t="shared" si="452"/>
        <v>0</v>
      </c>
      <c r="G771" s="69">
        <f t="shared" si="452"/>
        <v>0</v>
      </c>
      <c r="H771" s="69">
        <f t="shared" si="452"/>
        <v>0</v>
      </c>
      <c r="I771" s="69">
        <f t="shared" si="452"/>
        <v>0</v>
      </c>
      <c r="J771" s="69">
        <f t="shared" si="452"/>
        <v>0</v>
      </c>
      <c r="K771" s="69">
        <f t="shared" si="452"/>
        <v>0</v>
      </c>
      <c r="L771" s="69">
        <f>L809+L820+L831+L847+L858+L865</f>
        <v>0</v>
      </c>
      <c r="M771" s="69">
        <f>M809+M820+M831+M847+M858+M865</f>
        <v>0</v>
      </c>
      <c r="N771" s="69">
        <f>N809+N820+N831+N847+N858+N865</f>
        <v>0</v>
      </c>
      <c r="O771" s="69">
        <f>O809+O820+O831+O847+O858+O865</f>
        <v>0</v>
      </c>
      <c r="W771" s="69">
        <f>W809+W820+W831+W847+W858+W865</f>
        <v>0</v>
      </c>
    </row>
    <row r="772" spans="1:23" ht="31.5" x14ac:dyDescent="0.2">
      <c r="A772" s="140"/>
      <c r="B772" s="140"/>
      <c r="C772" s="94" t="s">
        <v>69</v>
      </c>
      <c r="D772" s="69">
        <f t="shared" si="444"/>
        <v>919561.10000000009</v>
      </c>
      <c r="E772" s="69">
        <v>0</v>
      </c>
      <c r="F772" s="69">
        <v>0</v>
      </c>
      <c r="G772" s="69">
        <v>0</v>
      </c>
      <c r="H772" s="69">
        <v>0</v>
      </c>
      <c r="I772" s="69">
        <v>50000</v>
      </c>
      <c r="J772" s="69">
        <v>213866.1</v>
      </c>
      <c r="K772" s="69">
        <v>368985.2</v>
      </c>
      <c r="L772" s="69">
        <v>195620.5</v>
      </c>
      <c r="M772" s="57">
        <f>34491.5+42462.6+1968.2</f>
        <v>78922.3</v>
      </c>
      <c r="N772" s="69">
        <v>12167</v>
      </c>
      <c r="O772" s="69">
        <v>0</v>
      </c>
      <c r="W772" s="69">
        <v>0</v>
      </c>
    </row>
    <row r="773" spans="1:23" ht="30" customHeight="1" x14ac:dyDescent="0.2">
      <c r="A773" s="140"/>
      <c r="B773" s="140"/>
      <c r="C773" s="72" t="s">
        <v>81</v>
      </c>
      <c r="D773" s="71">
        <f t="shared" si="444"/>
        <v>8579.9</v>
      </c>
      <c r="E773" s="71">
        <v>0</v>
      </c>
      <c r="F773" s="71">
        <v>0</v>
      </c>
      <c r="G773" s="71">
        <v>0</v>
      </c>
      <c r="H773" s="71">
        <v>0</v>
      </c>
      <c r="I773" s="71">
        <v>0</v>
      </c>
      <c r="J773" s="71">
        <v>0</v>
      </c>
      <c r="K773" s="71">
        <v>0</v>
      </c>
      <c r="L773" s="71">
        <v>0</v>
      </c>
      <c r="M773" s="71">
        <v>8579.9</v>
      </c>
      <c r="N773" s="69">
        <v>0</v>
      </c>
      <c r="O773" s="69">
        <v>0</v>
      </c>
      <c r="W773" s="69">
        <v>0</v>
      </c>
    </row>
    <row r="774" spans="1:23" ht="31.5" x14ac:dyDescent="0.2">
      <c r="A774" s="140"/>
      <c r="B774" s="140"/>
      <c r="C774" s="94" t="s">
        <v>65</v>
      </c>
      <c r="D774" s="69">
        <f t="shared" si="444"/>
        <v>70572.200000000012</v>
      </c>
      <c r="E774" s="69">
        <v>0</v>
      </c>
      <c r="F774" s="69">
        <v>0</v>
      </c>
      <c r="G774" s="69">
        <v>0</v>
      </c>
      <c r="H774" s="69">
        <v>0</v>
      </c>
      <c r="I774" s="69">
        <v>2500</v>
      </c>
      <c r="J774" s="69">
        <v>13651.1</v>
      </c>
      <c r="K774" s="69">
        <v>24682.2</v>
      </c>
      <c r="L774" s="69">
        <f>12486.4+663.4</f>
        <v>13149.8</v>
      </c>
      <c r="M774" s="57">
        <f>1481.6+4723.2+172.7+2710.4+2093.9-1968.3+4958.1-70.5+1711.4</f>
        <v>15812.5</v>
      </c>
      <c r="N774" s="69">
        <v>776.6</v>
      </c>
      <c r="O774" s="69">
        <v>0</v>
      </c>
      <c r="W774" s="69">
        <v>0</v>
      </c>
    </row>
    <row r="775" spans="1:23" ht="30" customHeight="1" x14ac:dyDescent="0.2">
      <c r="A775" s="140"/>
      <c r="B775" s="140"/>
      <c r="C775" s="72" t="s">
        <v>448</v>
      </c>
      <c r="D775" s="71">
        <f t="shared" si="444"/>
        <v>547.70000000000005</v>
      </c>
      <c r="E775" s="71">
        <v>0</v>
      </c>
      <c r="F775" s="71">
        <v>0</v>
      </c>
      <c r="G775" s="71">
        <v>0</v>
      </c>
      <c r="H775" s="71">
        <v>0</v>
      </c>
      <c r="I775" s="71">
        <v>0</v>
      </c>
      <c r="J775" s="71">
        <v>0</v>
      </c>
      <c r="K775" s="71">
        <v>0</v>
      </c>
      <c r="L775" s="71">
        <v>0</v>
      </c>
      <c r="M775" s="71">
        <f>547.7</f>
        <v>547.70000000000005</v>
      </c>
      <c r="N775" s="71">
        <v>0</v>
      </c>
      <c r="O775" s="71">
        <v>0</v>
      </c>
      <c r="W775" s="71">
        <v>0</v>
      </c>
    </row>
    <row r="776" spans="1:23" ht="30.75" customHeight="1" x14ac:dyDescent="0.2">
      <c r="A776" s="140"/>
      <c r="B776" s="140"/>
      <c r="C776" s="94" t="s">
        <v>13</v>
      </c>
      <c r="D776" s="69">
        <f t="shared" si="444"/>
        <v>0</v>
      </c>
      <c r="E776" s="69">
        <f>E823+E834+E850+E862+E869</f>
        <v>0</v>
      </c>
      <c r="F776" s="69">
        <f>F823+F834+F850+F862+F869</f>
        <v>0</v>
      </c>
      <c r="G776" s="69">
        <f>G823+G834+G850+G862+G869</f>
        <v>0</v>
      </c>
      <c r="H776" s="69">
        <f>H823+H834+H850+H862+H869</f>
        <v>0</v>
      </c>
      <c r="I776" s="69">
        <f>I823+I834+I850+I862+I869</f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21" customHeight="1" x14ac:dyDescent="0.2">
      <c r="A777" s="140" t="s">
        <v>357</v>
      </c>
      <c r="B777" s="140" t="s">
        <v>358</v>
      </c>
      <c r="C777" s="94" t="s">
        <v>7</v>
      </c>
      <c r="D777" s="69">
        <f>E777+F777+G777+H777+I777+J777+K777+L777+M777+N777+O777</f>
        <v>600</v>
      </c>
      <c r="E777" s="69">
        <f t="shared" ref="E777:O777" si="453">E778+E779+E780+E781</f>
        <v>0</v>
      </c>
      <c r="F777" s="69">
        <f t="shared" si="453"/>
        <v>0</v>
      </c>
      <c r="G777" s="69">
        <f t="shared" si="453"/>
        <v>0</v>
      </c>
      <c r="H777" s="69">
        <f t="shared" si="453"/>
        <v>0</v>
      </c>
      <c r="I777" s="69">
        <f t="shared" si="453"/>
        <v>0</v>
      </c>
      <c r="J777" s="69">
        <f t="shared" si="453"/>
        <v>600</v>
      </c>
      <c r="K777" s="69">
        <f t="shared" si="453"/>
        <v>0</v>
      </c>
      <c r="L777" s="69">
        <f t="shared" si="453"/>
        <v>0</v>
      </c>
      <c r="M777" s="69">
        <f t="shared" si="453"/>
        <v>0</v>
      </c>
      <c r="N777" s="69">
        <f t="shared" si="453"/>
        <v>0</v>
      </c>
      <c r="O777" s="69">
        <f t="shared" si="453"/>
        <v>0</v>
      </c>
      <c r="W777" s="69">
        <f t="shared" ref="W777" si="454">W778+W779+W780+W781</f>
        <v>0</v>
      </c>
    </row>
    <row r="778" spans="1:23" ht="21" customHeight="1" x14ac:dyDescent="0.2">
      <c r="A778" s="141"/>
      <c r="B778" s="142"/>
      <c r="C778" s="94" t="s">
        <v>10</v>
      </c>
      <c r="D778" s="69">
        <f>E778+F778+G778+H778+I778+J778+K778+L778+M778+N778+O778</f>
        <v>0</v>
      </c>
      <c r="E778" s="69">
        <f>E783</f>
        <v>0</v>
      </c>
      <c r="F778" s="69">
        <f t="shared" ref="F778:K778" si="455">F783</f>
        <v>0</v>
      </c>
      <c r="G778" s="69">
        <f t="shared" si="455"/>
        <v>0</v>
      </c>
      <c r="H778" s="69">
        <f t="shared" si="455"/>
        <v>0</v>
      </c>
      <c r="I778" s="69">
        <f t="shared" si="455"/>
        <v>0</v>
      </c>
      <c r="J778" s="69">
        <f t="shared" si="455"/>
        <v>0</v>
      </c>
      <c r="K778" s="69">
        <f t="shared" si="455"/>
        <v>0</v>
      </c>
      <c r="L778" s="69">
        <f>L814+L825+L836+L852+L863+L870</f>
        <v>0</v>
      </c>
      <c r="M778" s="69">
        <f>M814+M825+M836+M852+M863+M870</f>
        <v>0</v>
      </c>
      <c r="N778" s="69">
        <f>N814+N825+N836+N852+N863+N870</f>
        <v>0</v>
      </c>
      <c r="O778" s="69">
        <f>O814+O825+O836+O852+O863+O870</f>
        <v>0</v>
      </c>
      <c r="W778" s="69">
        <f>W814+W825+W836+W852+W863+W870</f>
        <v>0</v>
      </c>
    </row>
    <row r="779" spans="1:23" ht="21" customHeight="1" x14ac:dyDescent="0.2">
      <c r="A779" s="141"/>
      <c r="B779" s="142"/>
      <c r="C779" s="94" t="s">
        <v>11</v>
      </c>
      <c r="D779" s="69">
        <f t="shared" si="444"/>
        <v>0</v>
      </c>
      <c r="E779" s="69">
        <f t="shared" ref="E779:K779" si="456">E784</f>
        <v>0</v>
      </c>
      <c r="F779" s="69">
        <f t="shared" si="456"/>
        <v>0</v>
      </c>
      <c r="G779" s="69">
        <f t="shared" si="456"/>
        <v>0</v>
      </c>
      <c r="H779" s="69">
        <f t="shared" si="456"/>
        <v>0</v>
      </c>
      <c r="I779" s="69">
        <f t="shared" si="456"/>
        <v>0</v>
      </c>
      <c r="J779" s="69">
        <f t="shared" si="456"/>
        <v>0</v>
      </c>
      <c r="K779" s="69">
        <f t="shared" si="456"/>
        <v>0</v>
      </c>
      <c r="L779" s="69">
        <v>0</v>
      </c>
      <c r="M779" s="69">
        <v>0</v>
      </c>
      <c r="N779" s="69">
        <v>0</v>
      </c>
      <c r="O779" s="69">
        <v>0</v>
      </c>
      <c r="W779" s="69">
        <v>0</v>
      </c>
    </row>
    <row r="780" spans="1:23" ht="21" customHeight="1" x14ac:dyDescent="0.2">
      <c r="A780" s="141"/>
      <c r="B780" s="142"/>
      <c r="C780" s="94" t="s">
        <v>12</v>
      </c>
      <c r="D780" s="69">
        <f t="shared" ref="D780:D786" si="457">E780+F780+G780+H780+I780+J780+K780+L780+M780+N780+O780</f>
        <v>600</v>
      </c>
      <c r="E780" s="69">
        <f t="shared" ref="E780:K780" si="458">E785</f>
        <v>0</v>
      </c>
      <c r="F780" s="69">
        <f t="shared" si="458"/>
        <v>0</v>
      </c>
      <c r="G780" s="69">
        <f t="shared" si="458"/>
        <v>0</v>
      </c>
      <c r="H780" s="69">
        <f t="shared" si="458"/>
        <v>0</v>
      </c>
      <c r="I780" s="69">
        <f t="shared" si="458"/>
        <v>0</v>
      </c>
      <c r="J780" s="69">
        <f t="shared" si="458"/>
        <v>600</v>
      </c>
      <c r="K780" s="69">
        <f t="shared" si="458"/>
        <v>0</v>
      </c>
      <c r="L780" s="69">
        <v>0</v>
      </c>
      <c r="M780" s="69">
        <v>0</v>
      </c>
      <c r="N780" s="69">
        <v>0</v>
      </c>
      <c r="O780" s="69">
        <v>0</v>
      </c>
      <c r="W780" s="69">
        <v>0</v>
      </c>
    </row>
    <row r="781" spans="1:23" ht="41.25" customHeight="1" x14ac:dyDescent="0.2">
      <c r="A781" s="141"/>
      <c r="B781" s="142"/>
      <c r="C781" s="94" t="s">
        <v>13</v>
      </c>
      <c r="D781" s="69">
        <f t="shared" si="457"/>
        <v>0</v>
      </c>
      <c r="E781" s="69">
        <f t="shared" ref="E781:K781" si="459">E786</f>
        <v>0</v>
      </c>
      <c r="F781" s="69">
        <f t="shared" si="459"/>
        <v>0</v>
      </c>
      <c r="G781" s="69">
        <f t="shared" si="459"/>
        <v>0</v>
      </c>
      <c r="H781" s="69">
        <f t="shared" si="459"/>
        <v>0</v>
      </c>
      <c r="I781" s="69">
        <f t="shared" si="459"/>
        <v>0</v>
      </c>
      <c r="J781" s="69">
        <f t="shared" si="459"/>
        <v>0</v>
      </c>
      <c r="K781" s="69">
        <f t="shared" si="459"/>
        <v>0</v>
      </c>
      <c r="L781" s="69">
        <v>0</v>
      </c>
      <c r="M781" s="69">
        <v>0</v>
      </c>
      <c r="N781" s="69">
        <v>0</v>
      </c>
      <c r="O781" s="69">
        <v>0</v>
      </c>
      <c r="W781" s="69">
        <v>0</v>
      </c>
    </row>
    <row r="782" spans="1:23" ht="15.75" x14ac:dyDescent="0.2">
      <c r="A782" s="140" t="s">
        <v>359</v>
      </c>
      <c r="B782" s="140" t="s">
        <v>360</v>
      </c>
      <c r="C782" s="94" t="s">
        <v>7</v>
      </c>
      <c r="D782" s="69">
        <f t="shared" si="457"/>
        <v>600</v>
      </c>
      <c r="E782" s="69">
        <f t="shared" ref="E782:O782" si="460">E783+E784+E785+E786</f>
        <v>0</v>
      </c>
      <c r="F782" s="69">
        <f t="shared" si="460"/>
        <v>0</v>
      </c>
      <c r="G782" s="69">
        <f t="shared" si="460"/>
        <v>0</v>
      </c>
      <c r="H782" s="69">
        <f t="shared" si="460"/>
        <v>0</v>
      </c>
      <c r="I782" s="69">
        <f t="shared" si="460"/>
        <v>0</v>
      </c>
      <c r="J782" s="69">
        <f t="shared" si="460"/>
        <v>600</v>
      </c>
      <c r="K782" s="69">
        <f t="shared" si="460"/>
        <v>0</v>
      </c>
      <c r="L782" s="69">
        <f t="shared" si="460"/>
        <v>0</v>
      </c>
      <c r="M782" s="69">
        <f t="shared" si="460"/>
        <v>0</v>
      </c>
      <c r="N782" s="69">
        <f t="shared" si="460"/>
        <v>0</v>
      </c>
      <c r="O782" s="69">
        <f t="shared" si="460"/>
        <v>0</v>
      </c>
      <c r="W782" s="69">
        <f t="shared" ref="W782" si="461">W783+W784+W785+W786</f>
        <v>0</v>
      </c>
    </row>
    <row r="783" spans="1:23" ht="15.75" x14ac:dyDescent="0.2">
      <c r="A783" s="140"/>
      <c r="B783" s="140"/>
      <c r="C783" s="94" t="s">
        <v>10</v>
      </c>
      <c r="D783" s="69">
        <f t="shared" si="457"/>
        <v>0</v>
      </c>
      <c r="E783" s="69">
        <f t="shared" ref="E783:O783" si="462">E820+E830+E841+E857+E868+E875</f>
        <v>0</v>
      </c>
      <c r="F783" s="69">
        <f t="shared" si="462"/>
        <v>0</v>
      </c>
      <c r="G783" s="69">
        <f t="shared" si="462"/>
        <v>0</v>
      </c>
      <c r="H783" s="69">
        <f t="shared" si="462"/>
        <v>0</v>
      </c>
      <c r="I783" s="69">
        <f t="shared" si="462"/>
        <v>0</v>
      </c>
      <c r="J783" s="69">
        <f t="shared" si="462"/>
        <v>0</v>
      </c>
      <c r="K783" s="69">
        <f t="shared" si="462"/>
        <v>0</v>
      </c>
      <c r="L783" s="69">
        <f t="shared" si="462"/>
        <v>0</v>
      </c>
      <c r="M783" s="69">
        <f t="shared" si="462"/>
        <v>0</v>
      </c>
      <c r="N783" s="69">
        <f t="shared" si="462"/>
        <v>0</v>
      </c>
      <c r="O783" s="69">
        <f t="shared" si="462"/>
        <v>0</v>
      </c>
      <c r="W783" s="69">
        <f t="shared" ref="W783" si="463">W820+W830+W841+W857+W868+W875</f>
        <v>0</v>
      </c>
    </row>
    <row r="784" spans="1:23" ht="15.75" x14ac:dyDescent="0.2">
      <c r="A784" s="140"/>
      <c r="B784" s="140"/>
      <c r="C784" s="94" t="s">
        <v>11</v>
      </c>
      <c r="D784" s="69">
        <f t="shared" si="457"/>
        <v>0</v>
      </c>
      <c r="E784" s="69">
        <v>0</v>
      </c>
      <c r="F784" s="69">
        <v>0</v>
      </c>
      <c r="G784" s="69">
        <v>0</v>
      </c>
      <c r="H784" s="69">
        <v>0</v>
      </c>
      <c r="I784" s="69">
        <v>0</v>
      </c>
      <c r="J784" s="69">
        <v>0</v>
      </c>
      <c r="K784" s="69">
        <v>0</v>
      </c>
      <c r="L784" s="69">
        <v>0</v>
      </c>
      <c r="M784" s="69">
        <v>0</v>
      </c>
      <c r="N784" s="69">
        <v>0</v>
      </c>
      <c r="O784" s="69">
        <v>0</v>
      </c>
      <c r="W784" s="69">
        <v>0</v>
      </c>
    </row>
    <row r="785" spans="1:23" ht="15.75" x14ac:dyDescent="0.2">
      <c r="A785" s="140"/>
      <c r="B785" s="140"/>
      <c r="C785" s="94" t="s">
        <v>12</v>
      </c>
      <c r="D785" s="69">
        <f t="shared" si="457"/>
        <v>600</v>
      </c>
      <c r="E785" s="69">
        <v>0</v>
      </c>
      <c r="F785" s="69">
        <v>0</v>
      </c>
      <c r="G785" s="69">
        <v>0</v>
      </c>
      <c r="H785" s="69">
        <v>0</v>
      </c>
      <c r="I785" s="69">
        <v>0</v>
      </c>
      <c r="J785" s="69">
        <v>600</v>
      </c>
      <c r="K785" s="69">
        <v>0</v>
      </c>
      <c r="L785" s="69">
        <v>0</v>
      </c>
      <c r="M785" s="69">
        <v>0</v>
      </c>
      <c r="N785" s="69">
        <v>0</v>
      </c>
      <c r="O785" s="69">
        <v>0</v>
      </c>
      <c r="W785" s="69">
        <v>0</v>
      </c>
    </row>
    <row r="786" spans="1:23" ht="24" customHeight="1" x14ac:dyDescent="0.2">
      <c r="A786" s="140"/>
      <c r="B786" s="140"/>
      <c r="C786" s="94" t="s">
        <v>13</v>
      </c>
      <c r="D786" s="69">
        <f t="shared" si="457"/>
        <v>0</v>
      </c>
      <c r="E786" s="69">
        <f>E833+E844+E860+E872+E879</f>
        <v>0</v>
      </c>
      <c r="F786" s="69">
        <f>F833+F844+F860+F872+F879</f>
        <v>0</v>
      </c>
      <c r="G786" s="69">
        <f>G833+G844+G860+G872+G879</f>
        <v>0</v>
      </c>
      <c r="H786" s="69">
        <f>H833+H844+H860+H872+H879</f>
        <v>0</v>
      </c>
      <c r="I786" s="69">
        <f>I833+I844+I860+I872+I879</f>
        <v>0</v>
      </c>
      <c r="J786" s="69">
        <v>0</v>
      </c>
      <c r="K786" s="69">
        <v>0</v>
      </c>
      <c r="L786" s="69">
        <v>0</v>
      </c>
      <c r="M786" s="69">
        <v>0</v>
      </c>
      <c r="N786" s="69">
        <v>0</v>
      </c>
      <c r="O786" s="69">
        <v>0</v>
      </c>
      <c r="W786" s="69">
        <v>0</v>
      </c>
    </row>
    <row r="787" spans="1:23" ht="24" customHeight="1" x14ac:dyDescent="0.2">
      <c r="A787" s="140" t="s">
        <v>391</v>
      </c>
      <c r="B787" s="140" t="s">
        <v>393</v>
      </c>
      <c r="C787" s="94" t="s">
        <v>7</v>
      </c>
      <c r="D787" s="69">
        <f>E787+F787+G787+H787+I787+J787+K787+L787+M787+N787+O787</f>
        <v>110577.3</v>
      </c>
      <c r="E787" s="69">
        <f>E788+E789+E790+E791</f>
        <v>0</v>
      </c>
      <c r="F787" s="69">
        <f t="shared" ref="F787:N787" si="464">F788+F789+F790+F791</f>
        <v>0</v>
      </c>
      <c r="G787" s="69">
        <f t="shared" si="464"/>
        <v>0</v>
      </c>
      <c r="H787" s="69">
        <f t="shared" si="464"/>
        <v>0</v>
      </c>
      <c r="I787" s="69">
        <f t="shared" si="464"/>
        <v>0</v>
      </c>
      <c r="J787" s="69">
        <f t="shared" si="464"/>
        <v>0</v>
      </c>
      <c r="K787" s="69">
        <f t="shared" si="464"/>
        <v>13798.2</v>
      </c>
      <c r="L787" s="69">
        <f t="shared" si="464"/>
        <v>5613</v>
      </c>
      <c r="M787" s="69">
        <f t="shared" si="464"/>
        <v>33698.5</v>
      </c>
      <c r="N787" s="69">
        <f t="shared" si="464"/>
        <v>28733.8</v>
      </c>
      <c r="O787" s="69">
        <f>O788+O789+O790+O791</f>
        <v>28733.8</v>
      </c>
      <c r="W787" s="69">
        <f t="shared" ref="W787" si="465">W788+W789+W790+W791</f>
        <v>28733.8</v>
      </c>
    </row>
    <row r="788" spans="1:23" ht="24" customHeight="1" x14ac:dyDescent="0.2">
      <c r="A788" s="141"/>
      <c r="B788" s="142"/>
      <c r="C788" s="94" t="s">
        <v>10</v>
      </c>
      <c r="D788" s="69">
        <f t="shared" ref="D788:D796" si="466">E788+F788+G788+H788+I788+J788+K788+L788+M788+N788+O788</f>
        <v>0</v>
      </c>
      <c r="E788" s="69">
        <f t="shared" ref="E788:I788" si="467">E825+E835+E846+E862+E873+E880</f>
        <v>0</v>
      </c>
      <c r="F788" s="69">
        <f t="shared" si="467"/>
        <v>0</v>
      </c>
      <c r="G788" s="69">
        <f t="shared" si="467"/>
        <v>0</v>
      </c>
      <c r="H788" s="69">
        <f t="shared" si="467"/>
        <v>0</v>
      </c>
      <c r="I788" s="69">
        <f t="shared" si="467"/>
        <v>0</v>
      </c>
      <c r="J788" s="69">
        <v>0</v>
      </c>
      <c r="K788" s="69">
        <f t="shared" ref="K788:O788" si="468">K825+K835+K846+K862+K873+K880</f>
        <v>0</v>
      </c>
      <c r="L788" s="69">
        <f t="shared" si="468"/>
        <v>0</v>
      </c>
      <c r="M788" s="69">
        <f t="shared" si="468"/>
        <v>0</v>
      </c>
      <c r="N788" s="69">
        <f t="shared" si="468"/>
        <v>0</v>
      </c>
      <c r="O788" s="69">
        <f t="shared" si="468"/>
        <v>0</v>
      </c>
      <c r="W788" s="69">
        <f t="shared" ref="W788" si="469">W825+W835+W846+W862+W873+W880</f>
        <v>0</v>
      </c>
    </row>
    <row r="789" spans="1:23" ht="24" customHeight="1" x14ac:dyDescent="0.2">
      <c r="A789" s="141"/>
      <c r="B789" s="142"/>
      <c r="C789" s="94" t="s">
        <v>11</v>
      </c>
      <c r="D789" s="69">
        <f t="shared" si="466"/>
        <v>0</v>
      </c>
      <c r="E789" s="69">
        <v>0</v>
      </c>
      <c r="F789" s="69">
        <v>0</v>
      </c>
      <c r="G789" s="69">
        <v>0</v>
      </c>
      <c r="H789" s="69">
        <v>0</v>
      </c>
      <c r="I789" s="69">
        <v>0</v>
      </c>
      <c r="J789" s="69">
        <v>0</v>
      </c>
      <c r="K789" s="69">
        <v>0</v>
      </c>
      <c r="L789" s="69">
        <v>0</v>
      </c>
      <c r="M789" s="69">
        <v>0</v>
      </c>
      <c r="N789" s="69">
        <v>0</v>
      </c>
      <c r="O789" s="69">
        <v>0</v>
      </c>
      <c r="W789" s="69">
        <v>0</v>
      </c>
    </row>
    <row r="790" spans="1:23" ht="24" customHeight="1" x14ac:dyDescent="0.2">
      <c r="A790" s="141"/>
      <c r="B790" s="142"/>
      <c r="C790" s="94" t="s">
        <v>12</v>
      </c>
      <c r="D790" s="69">
        <f t="shared" si="466"/>
        <v>110577.3</v>
      </c>
      <c r="E790" s="69">
        <v>0</v>
      </c>
      <c r="F790" s="69">
        <v>0</v>
      </c>
      <c r="G790" s="69">
        <v>0</v>
      </c>
      <c r="H790" s="69">
        <v>0</v>
      </c>
      <c r="I790" s="69">
        <v>0</v>
      </c>
      <c r="J790" s="69">
        <f>J795</f>
        <v>0</v>
      </c>
      <c r="K790" s="69">
        <f>K795</f>
        <v>13798.2</v>
      </c>
      <c r="L790" s="69">
        <f>L795+L800</f>
        <v>5613</v>
      </c>
      <c r="M790" s="69">
        <f t="shared" ref="M790:S790" si="470">M795+M800</f>
        <v>33698.5</v>
      </c>
      <c r="N790" s="69">
        <f t="shared" si="470"/>
        <v>28733.8</v>
      </c>
      <c r="O790" s="69">
        <f>O795+O800</f>
        <v>28733.8</v>
      </c>
      <c r="P790" s="69">
        <f t="shared" si="470"/>
        <v>0</v>
      </c>
      <c r="Q790" s="69">
        <f t="shared" si="470"/>
        <v>0</v>
      </c>
      <c r="R790" s="69">
        <f t="shared" si="470"/>
        <v>0</v>
      </c>
      <c r="S790" s="69">
        <f t="shared" si="470"/>
        <v>0</v>
      </c>
      <c r="W790" s="69">
        <f t="shared" ref="W790" si="471">W795+W800</f>
        <v>28733.8</v>
      </c>
    </row>
    <row r="791" spans="1:23" ht="24" customHeight="1" x14ac:dyDescent="0.2">
      <c r="A791" s="141"/>
      <c r="B791" s="142"/>
      <c r="C791" s="94" t="s">
        <v>13</v>
      </c>
      <c r="D791" s="69">
        <f t="shared" si="466"/>
        <v>0</v>
      </c>
      <c r="E791" s="69">
        <f>E838+E849+E865+E877+E884</f>
        <v>0</v>
      </c>
      <c r="F791" s="69">
        <f>F838+F849+F865+F877+F884</f>
        <v>0</v>
      </c>
      <c r="G791" s="69">
        <f>G838+G849+G865+G877+G884</f>
        <v>0</v>
      </c>
      <c r="H791" s="69">
        <f>H838+H849+H865+H877+H884</f>
        <v>0</v>
      </c>
      <c r="I791" s="69">
        <f>I838+I849+I865+I877+I884</f>
        <v>0</v>
      </c>
      <c r="J791" s="69">
        <v>0</v>
      </c>
      <c r="K791" s="69">
        <v>0</v>
      </c>
      <c r="L791" s="69">
        <v>0</v>
      </c>
      <c r="M791" s="69">
        <v>0</v>
      </c>
      <c r="N791" s="69">
        <v>0</v>
      </c>
      <c r="O791" s="69">
        <v>0</v>
      </c>
      <c r="W791" s="69">
        <v>0</v>
      </c>
    </row>
    <row r="792" spans="1:23" ht="24" customHeight="1" x14ac:dyDescent="0.2">
      <c r="A792" s="140" t="s">
        <v>392</v>
      </c>
      <c r="B792" s="140" t="s">
        <v>394</v>
      </c>
      <c r="C792" s="94" t="s">
        <v>7</v>
      </c>
      <c r="D792" s="69">
        <f t="shared" ref="D792:W792" si="472">D793+D794+D795+D796</f>
        <v>102936.40000000001</v>
      </c>
      <c r="E792" s="69">
        <f t="shared" si="472"/>
        <v>0</v>
      </c>
      <c r="F792" s="69">
        <f t="shared" si="472"/>
        <v>0</v>
      </c>
      <c r="G792" s="69">
        <f t="shared" si="472"/>
        <v>0</v>
      </c>
      <c r="H792" s="69">
        <f t="shared" si="472"/>
        <v>0</v>
      </c>
      <c r="I792" s="69">
        <f t="shared" si="472"/>
        <v>0</v>
      </c>
      <c r="J792" s="69">
        <f t="shared" si="472"/>
        <v>0</v>
      </c>
      <c r="K792" s="69">
        <f t="shared" si="472"/>
        <v>13798.2</v>
      </c>
      <c r="L792" s="69">
        <f t="shared" si="472"/>
        <v>598</v>
      </c>
      <c r="M792" s="69">
        <f t="shared" si="472"/>
        <v>31072.600000000002</v>
      </c>
      <c r="N792" s="69">
        <f t="shared" si="472"/>
        <v>28733.8</v>
      </c>
      <c r="O792" s="69">
        <f t="shared" si="472"/>
        <v>28733.8</v>
      </c>
      <c r="P792" s="69">
        <f t="shared" si="472"/>
        <v>0</v>
      </c>
      <c r="Q792" s="69">
        <f t="shared" si="472"/>
        <v>0</v>
      </c>
      <c r="R792" s="69">
        <f t="shared" si="472"/>
        <v>0</v>
      </c>
      <c r="S792" s="69">
        <f t="shared" si="472"/>
        <v>0</v>
      </c>
      <c r="T792" s="69">
        <f t="shared" si="472"/>
        <v>0</v>
      </c>
      <c r="U792" s="69">
        <f t="shared" si="472"/>
        <v>0</v>
      </c>
      <c r="V792" s="69">
        <f t="shared" si="472"/>
        <v>0</v>
      </c>
      <c r="W792" s="69">
        <f t="shared" si="472"/>
        <v>28733.8</v>
      </c>
    </row>
    <row r="793" spans="1:23" ht="24" customHeight="1" x14ac:dyDescent="0.2">
      <c r="A793" s="140"/>
      <c r="B793" s="140"/>
      <c r="C793" s="94" t="s">
        <v>10</v>
      </c>
      <c r="D793" s="69">
        <f>E793+F793+G793+H793+I793+J793+K793+L793+M793+N793+O793</f>
        <v>0</v>
      </c>
      <c r="E793" s="69">
        <f t="shared" ref="E793:I793" si="473">E830+E840+E851+E867+E878+E885</f>
        <v>0</v>
      </c>
      <c r="F793" s="69">
        <f t="shared" si="473"/>
        <v>0</v>
      </c>
      <c r="G793" s="69">
        <f t="shared" si="473"/>
        <v>0</v>
      </c>
      <c r="H793" s="69">
        <f t="shared" si="473"/>
        <v>0</v>
      </c>
      <c r="I793" s="69">
        <f t="shared" si="473"/>
        <v>0</v>
      </c>
      <c r="J793" s="69">
        <v>0</v>
      </c>
      <c r="K793" s="69">
        <f t="shared" ref="K793:O793" si="474">K830+K840+K851+K867+K878+K885</f>
        <v>0</v>
      </c>
      <c r="L793" s="69">
        <f t="shared" si="474"/>
        <v>0</v>
      </c>
      <c r="M793" s="69">
        <f t="shared" si="474"/>
        <v>0</v>
      </c>
      <c r="N793" s="69">
        <f t="shared" si="474"/>
        <v>0</v>
      </c>
      <c r="O793" s="69">
        <f t="shared" si="474"/>
        <v>0</v>
      </c>
      <c r="W793" s="69">
        <f t="shared" ref="W793" si="475">W830+W840+W851+W867+W878+W885</f>
        <v>0</v>
      </c>
    </row>
    <row r="794" spans="1:23" ht="24" customHeight="1" x14ac:dyDescent="0.2">
      <c r="A794" s="140"/>
      <c r="B794" s="140"/>
      <c r="C794" s="94" t="s">
        <v>11</v>
      </c>
      <c r="D794" s="69">
        <f t="shared" si="466"/>
        <v>0</v>
      </c>
      <c r="E794" s="69">
        <v>0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40"/>
      <c r="B795" s="140"/>
      <c r="C795" s="94" t="s">
        <v>12</v>
      </c>
      <c r="D795" s="69">
        <f t="shared" si="466"/>
        <v>102936.40000000001</v>
      </c>
      <c r="E795" s="69">
        <v>0</v>
      </c>
      <c r="F795" s="69">
        <v>0</v>
      </c>
      <c r="G795" s="69">
        <v>0</v>
      </c>
      <c r="H795" s="69">
        <v>0</v>
      </c>
      <c r="I795" s="69">
        <v>0</v>
      </c>
      <c r="J795" s="69">
        <v>0</v>
      </c>
      <c r="K795" s="69">
        <f>19000-5201.8+71.4-71.4</f>
        <v>13798.2</v>
      </c>
      <c r="L795" s="69">
        <f>700+8000-8000-102</f>
        <v>598</v>
      </c>
      <c r="M795" s="69">
        <f>0+3962.4+19258.5+4515.4-3962.4+3962.4+3336.3</f>
        <v>31072.600000000002</v>
      </c>
      <c r="N795" s="69">
        <f>351+4083.8+24299</f>
        <v>28733.8</v>
      </c>
      <c r="O795" s="69">
        <f>4083.8+24650</f>
        <v>28733.8</v>
      </c>
      <c r="W795" s="69">
        <v>28733.8</v>
      </c>
    </row>
    <row r="796" spans="1:23" ht="24" customHeight="1" x14ac:dyDescent="0.2">
      <c r="A796" s="140"/>
      <c r="B796" s="140"/>
      <c r="C796" s="94" t="s">
        <v>13</v>
      </c>
      <c r="D796" s="69">
        <f t="shared" si="466"/>
        <v>0</v>
      </c>
      <c r="E796" s="69">
        <f>E843+E854+E870+E882+E889</f>
        <v>0</v>
      </c>
      <c r="F796" s="69">
        <f>F843+F854+F870+F882+F889</f>
        <v>0</v>
      </c>
      <c r="G796" s="69">
        <f>G843+G854+G870+G882+G889</f>
        <v>0</v>
      </c>
      <c r="H796" s="69">
        <f>H843+H854+H870+H882+H889</f>
        <v>0</v>
      </c>
      <c r="I796" s="69">
        <f>I843+I854+I870+I882+I889</f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  <c r="W796" s="69">
        <v>0</v>
      </c>
    </row>
    <row r="797" spans="1:23" ht="24" customHeight="1" x14ac:dyDescent="0.2">
      <c r="A797" s="140" t="s">
        <v>415</v>
      </c>
      <c r="B797" s="143" t="s">
        <v>416</v>
      </c>
      <c r="C797" s="94" t="s">
        <v>7</v>
      </c>
      <c r="D797" s="69">
        <f t="shared" ref="D797:W797" si="476">D798+D799+D800+D801</f>
        <v>7640.9</v>
      </c>
      <c r="E797" s="69">
        <f t="shared" si="476"/>
        <v>0</v>
      </c>
      <c r="F797" s="69">
        <f t="shared" si="476"/>
        <v>0</v>
      </c>
      <c r="G797" s="69">
        <f t="shared" si="476"/>
        <v>0</v>
      </c>
      <c r="H797" s="69">
        <f t="shared" si="476"/>
        <v>0</v>
      </c>
      <c r="I797" s="69">
        <f t="shared" si="476"/>
        <v>0</v>
      </c>
      <c r="J797" s="69">
        <f t="shared" si="476"/>
        <v>0</v>
      </c>
      <c r="K797" s="69">
        <f t="shared" si="476"/>
        <v>0</v>
      </c>
      <c r="L797" s="69">
        <f t="shared" si="476"/>
        <v>5015</v>
      </c>
      <c r="M797" s="69">
        <f t="shared" si="476"/>
        <v>2625.8999999999996</v>
      </c>
      <c r="N797" s="69">
        <f t="shared" si="476"/>
        <v>0</v>
      </c>
      <c r="O797" s="69">
        <f t="shared" si="476"/>
        <v>0</v>
      </c>
      <c r="P797" s="69">
        <f t="shared" si="476"/>
        <v>0</v>
      </c>
      <c r="Q797" s="69">
        <f t="shared" si="476"/>
        <v>0</v>
      </c>
      <c r="R797" s="69">
        <f t="shared" si="476"/>
        <v>0</v>
      </c>
      <c r="S797" s="69">
        <f t="shared" si="476"/>
        <v>0</v>
      </c>
      <c r="T797" s="69">
        <f t="shared" si="476"/>
        <v>0</v>
      </c>
      <c r="U797" s="69">
        <f t="shared" si="476"/>
        <v>0</v>
      </c>
      <c r="V797" s="69">
        <f t="shared" si="476"/>
        <v>0</v>
      </c>
      <c r="W797" s="69">
        <f t="shared" si="476"/>
        <v>0</v>
      </c>
    </row>
    <row r="798" spans="1:23" ht="24" customHeight="1" x14ac:dyDescent="0.2">
      <c r="A798" s="140"/>
      <c r="B798" s="143"/>
      <c r="C798" s="94" t="s">
        <v>10</v>
      </c>
      <c r="D798" s="69">
        <f>E798+F798+G798+H798+I798+J798+K798+L798+M798+N798+O798</f>
        <v>0</v>
      </c>
      <c r="E798" s="69">
        <f t="shared" ref="E798:I798" si="477">E835+E845+E856+E872+E883+E890</f>
        <v>0</v>
      </c>
      <c r="F798" s="69">
        <f t="shared" si="477"/>
        <v>0</v>
      </c>
      <c r="G798" s="69">
        <f t="shared" si="477"/>
        <v>0</v>
      </c>
      <c r="H798" s="69">
        <f t="shared" si="477"/>
        <v>0</v>
      </c>
      <c r="I798" s="69">
        <f t="shared" si="477"/>
        <v>0</v>
      </c>
      <c r="J798" s="69">
        <v>0</v>
      </c>
      <c r="K798" s="69">
        <f t="shared" ref="K798:O798" si="478">K835+K845+K856+K872+K883+K890</f>
        <v>0</v>
      </c>
      <c r="L798" s="69">
        <f t="shared" si="478"/>
        <v>0</v>
      </c>
      <c r="M798" s="69">
        <f t="shared" si="478"/>
        <v>0</v>
      </c>
      <c r="N798" s="69">
        <f t="shared" si="478"/>
        <v>0</v>
      </c>
      <c r="O798" s="69">
        <f t="shared" si="478"/>
        <v>0</v>
      </c>
      <c r="W798" s="69">
        <f t="shared" ref="W798" si="479">W835+W845+W856+W872+W883+W890</f>
        <v>0</v>
      </c>
    </row>
    <row r="799" spans="1:23" ht="24" customHeight="1" x14ac:dyDescent="0.2">
      <c r="A799" s="140"/>
      <c r="B799" s="143"/>
      <c r="C799" s="94" t="s">
        <v>11</v>
      </c>
      <c r="D799" s="69">
        <f t="shared" ref="D799:D801" si="480">E799+F799+G799+H799+I799+J799+K799+L799+M799+N799+O799</f>
        <v>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24" customHeight="1" x14ac:dyDescent="0.2">
      <c r="A800" s="140"/>
      <c r="B800" s="143"/>
      <c r="C800" s="94" t="s">
        <v>12</v>
      </c>
      <c r="D800" s="69">
        <f t="shared" si="480"/>
        <v>7640.9</v>
      </c>
      <c r="E800" s="69">
        <v>0</v>
      </c>
      <c r="F800" s="69">
        <v>0</v>
      </c>
      <c r="G800" s="69">
        <v>0</v>
      </c>
      <c r="H800" s="69">
        <v>0</v>
      </c>
      <c r="I800" s="69">
        <v>0</v>
      </c>
      <c r="J800" s="69">
        <v>0</v>
      </c>
      <c r="K800" s="69">
        <v>0</v>
      </c>
      <c r="L800" s="69">
        <f>2484.5+2515.5+15</f>
        <v>5015</v>
      </c>
      <c r="M800" s="69">
        <f>1435.1+1190.8</f>
        <v>2625.8999999999996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40"/>
      <c r="B801" s="143"/>
      <c r="C801" s="94" t="s">
        <v>13</v>
      </c>
      <c r="D801" s="69">
        <f t="shared" si="480"/>
        <v>0</v>
      </c>
      <c r="E801" s="69">
        <f>E848+E859+E875+E887+E894</f>
        <v>0</v>
      </c>
      <c r="F801" s="69">
        <f>F848+F859+F875+F887+F894</f>
        <v>0</v>
      </c>
      <c r="G801" s="69">
        <f>G848+G859+G875+G887+G894</f>
        <v>0</v>
      </c>
      <c r="H801" s="69">
        <f>H848+H859+H875+H887+H894</f>
        <v>0</v>
      </c>
      <c r="I801" s="69">
        <f>I848+I859+I875+I887+I894</f>
        <v>0</v>
      </c>
      <c r="J801" s="69">
        <v>0</v>
      </c>
      <c r="K801" s="69">
        <v>0</v>
      </c>
      <c r="L801" s="69">
        <v>0</v>
      </c>
      <c r="M801" s="69">
        <v>0</v>
      </c>
      <c r="N801" s="69">
        <v>0</v>
      </c>
      <c r="O801" s="69">
        <v>0</v>
      </c>
      <c r="W801" s="69">
        <v>0</v>
      </c>
    </row>
    <row r="802" spans="1:23" ht="15.75" x14ac:dyDescent="0.2">
      <c r="A802" s="150" t="s">
        <v>42</v>
      </c>
      <c r="B802" s="146" t="s">
        <v>327</v>
      </c>
      <c r="C802" s="73" t="s">
        <v>7</v>
      </c>
      <c r="D802" s="66">
        <f>E802+F802+G802+H802+I802+J802+K802+L802+M802+N802+O802+W802</f>
        <v>667135.71499999997</v>
      </c>
      <c r="E802" s="66">
        <f t="shared" ref="E802:O802" si="481">E805+E803+E804+E806</f>
        <v>31873.5</v>
      </c>
      <c r="F802" s="66">
        <f t="shared" si="481"/>
        <v>32215.200000000001</v>
      </c>
      <c r="G802" s="66">
        <f t="shared" si="481"/>
        <v>32536.1</v>
      </c>
      <c r="H802" s="66">
        <f t="shared" si="481"/>
        <v>34467.4</v>
      </c>
      <c r="I802" s="66">
        <f t="shared" si="481"/>
        <v>42249.1</v>
      </c>
      <c r="J802" s="66">
        <f t="shared" si="481"/>
        <v>51925.4</v>
      </c>
      <c r="K802" s="66">
        <f t="shared" si="481"/>
        <v>66037.599999999991</v>
      </c>
      <c r="L802" s="66">
        <f t="shared" si="481"/>
        <v>68745.7</v>
      </c>
      <c r="M802" s="66">
        <f t="shared" si="481"/>
        <v>73911.114999999991</v>
      </c>
      <c r="N802" s="66">
        <f t="shared" si="481"/>
        <v>74758.200000000012</v>
      </c>
      <c r="O802" s="66">
        <f t="shared" si="481"/>
        <v>77746.900000000009</v>
      </c>
      <c r="P802" s="60">
        <f>D803+D804+D805+D806</f>
        <v>667135.71499999997</v>
      </c>
      <c r="Q802" s="60"/>
      <c r="W802" s="66">
        <f t="shared" ref="W802" si="482">W805+W803+W804+W806</f>
        <v>80669.5</v>
      </c>
    </row>
    <row r="803" spans="1:23" ht="19.5" customHeight="1" x14ac:dyDescent="0.2">
      <c r="A803" s="150"/>
      <c r="B803" s="146"/>
      <c r="C803" s="99" t="s">
        <v>10</v>
      </c>
      <c r="D803" s="69">
        <f>E803+F803+G803+H803+I803+J803+K803+L803+M803+N803+O803+W803</f>
        <v>0</v>
      </c>
      <c r="E803" s="69">
        <f t="shared" ref="E803:K806" si="483">E808</f>
        <v>0</v>
      </c>
      <c r="F803" s="69">
        <f t="shared" si="483"/>
        <v>0</v>
      </c>
      <c r="G803" s="69">
        <f t="shared" si="483"/>
        <v>0</v>
      </c>
      <c r="H803" s="69">
        <f t="shared" si="483"/>
        <v>0</v>
      </c>
      <c r="I803" s="69">
        <f t="shared" si="483"/>
        <v>0</v>
      </c>
      <c r="J803" s="69">
        <f t="shared" si="483"/>
        <v>0</v>
      </c>
      <c r="K803" s="69">
        <f t="shared" si="483"/>
        <v>0</v>
      </c>
      <c r="L803" s="69">
        <f t="shared" ref="L803:O804" si="484">L808</f>
        <v>0</v>
      </c>
      <c r="M803" s="69">
        <f t="shared" si="484"/>
        <v>0</v>
      </c>
      <c r="N803" s="69">
        <f t="shared" si="484"/>
        <v>0</v>
      </c>
      <c r="O803" s="69">
        <f t="shared" si="484"/>
        <v>0</v>
      </c>
      <c r="W803" s="69">
        <f t="shared" ref="W803" si="485">W808</f>
        <v>0</v>
      </c>
    </row>
    <row r="804" spans="1:23" ht="16.5" customHeight="1" x14ac:dyDescent="0.2">
      <c r="A804" s="150"/>
      <c r="B804" s="146"/>
      <c r="C804" s="99" t="s">
        <v>11</v>
      </c>
      <c r="D804" s="69">
        <f t="shared" ref="D804:D816" si="486">E804+F804+G804+H804+I804+J804+K804+L804+M804+N804+O804+W804</f>
        <v>0</v>
      </c>
      <c r="E804" s="69">
        <f t="shared" si="483"/>
        <v>0</v>
      </c>
      <c r="F804" s="69">
        <f t="shared" si="483"/>
        <v>0</v>
      </c>
      <c r="G804" s="69">
        <f t="shared" si="483"/>
        <v>0</v>
      </c>
      <c r="H804" s="69">
        <f t="shared" si="483"/>
        <v>0</v>
      </c>
      <c r="I804" s="69">
        <f t="shared" si="483"/>
        <v>0</v>
      </c>
      <c r="J804" s="69">
        <f>J809</f>
        <v>0</v>
      </c>
      <c r="K804" s="69">
        <f>K809</f>
        <v>0</v>
      </c>
      <c r="L804" s="69">
        <f t="shared" si="484"/>
        <v>0</v>
      </c>
      <c r="M804" s="69">
        <f t="shared" si="484"/>
        <v>0</v>
      </c>
      <c r="N804" s="69">
        <f t="shared" si="484"/>
        <v>0</v>
      </c>
      <c r="O804" s="69">
        <f t="shared" si="484"/>
        <v>0</v>
      </c>
      <c r="W804" s="69">
        <f t="shared" ref="W804" si="487">W809</f>
        <v>0</v>
      </c>
    </row>
    <row r="805" spans="1:23" ht="15" customHeight="1" x14ac:dyDescent="0.2">
      <c r="A805" s="150"/>
      <c r="B805" s="146"/>
      <c r="C805" s="99" t="s">
        <v>12</v>
      </c>
      <c r="D805" s="69">
        <f t="shared" si="486"/>
        <v>667135.71499999997</v>
      </c>
      <c r="E805" s="69">
        <f>E810</f>
        <v>31873.5</v>
      </c>
      <c r="F805" s="69">
        <f t="shared" si="483"/>
        <v>32215.200000000001</v>
      </c>
      <c r="G805" s="69">
        <f>G807</f>
        <v>32536.1</v>
      </c>
      <c r="H805" s="69">
        <f>H807</f>
        <v>34467.4</v>
      </c>
      <c r="I805" s="69">
        <f>I807</f>
        <v>42249.1</v>
      </c>
      <c r="J805" s="69">
        <f t="shared" ref="J805:M805" si="488">J810</f>
        <v>51925.4</v>
      </c>
      <c r="K805" s="69">
        <f t="shared" si="488"/>
        <v>66037.599999999991</v>
      </c>
      <c r="L805" s="69">
        <f t="shared" si="488"/>
        <v>68745.7</v>
      </c>
      <c r="M805" s="69">
        <f t="shared" si="488"/>
        <v>73911.114999999991</v>
      </c>
      <c r="N805" s="69">
        <f>N810</f>
        <v>74758.200000000012</v>
      </c>
      <c r="O805" s="69">
        <f>O810</f>
        <v>77746.900000000009</v>
      </c>
      <c r="W805" s="69">
        <f>W810</f>
        <v>80669.5</v>
      </c>
    </row>
    <row r="806" spans="1:23" s="82" customFormat="1" ht="45" customHeight="1" x14ac:dyDescent="0.25">
      <c r="A806" s="150"/>
      <c r="B806" s="146"/>
      <c r="C806" s="99" t="s">
        <v>13</v>
      </c>
      <c r="D806" s="69">
        <f t="shared" si="486"/>
        <v>0</v>
      </c>
      <c r="E806" s="69">
        <f t="shared" si="483"/>
        <v>0</v>
      </c>
      <c r="F806" s="69">
        <f t="shared" si="483"/>
        <v>0</v>
      </c>
      <c r="G806" s="69">
        <f t="shared" si="483"/>
        <v>0</v>
      </c>
      <c r="H806" s="69">
        <f t="shared" si="483"/>
        <v>0</v>
      </c>
      <c r="I806" s="69">
        <f t="shared" si="483"/>
        <v>0</v>
      </c>
      <c r="J806" s="69">
        <f t="shared" ref="J806:O806" si="489">J811</f>
        <v>0</v>
      </c>
      <c r="K806" s="69">
        <f t="shared" si="489"/>
        <v>0</v>
      </c>
      <c r="L806" s="69">
        <f t="shared" si="489"/>
        <v>0</v>
      </c>
      <c r="M806" s="69">
        <f t="shared" si="489"/>
        <v>0</v>
      </c>
      <c r="N806" s="69">
        <f t="shared" si="489"/>
        <v>0</v>
      </c>
      <c r="O806" s="69">
        <f t="shared" si="489"/>
        <v>0</v>
      </c>
      <c r="W806" s="69">
        <f t="shared" ref="W806" si="490">W811</f>
        <v>0</v>
      </c>
    </row>
    <row r="807" spans="1:23" ht="15.75" customHeight="1" x14ac:dyDescent="0.2">
      <c r="A807" s="140" t="s">
        <v>334</v>
      </c>
      <c r="B807" s="143" t="s">
        <v>144</v>
      </c>
      <c r="C807" s="99" t="s">
        <v>7</v>
      </c>
      <c r="D807" s="69">
        <f t="shared" si="486"/>
        <v>667135.71499999997</v>
      </c>
      <c r="E807" s="69">
        <f t="shared" ref="E807:O807" si="491">SUM(E808:E811)</f>
        <v>31873.5</v>
      </c>
      <c r="F807" s="69">
        <f t="shared" si="491"/>
        <v>32215.200000000001</v>
      </c>
      <c r="G807" s="69">
        <f t="shared" si="491"/>
        <v>32536.1</v>
      </c>
      <c r="H807" s="69">
        <f t="shared" si="491"/>
        <v>34467.4</v>
      </c>
      <c r="I807" s="69">
        <f t="shared" si="491"/>
        <v>42249.1</v>
      </c>
      <c r="J807" s="69">
        <f t="shared" si="491"/>
        <v>51925.4</v>
      </c>
      <c r="K807" s="69">
        <f t="shared" si="491"/>
        <v>66037.599999999991</v>
      </c>
      <c r="L807" s="69">
        <f t="shared" si="491"/>
        <v>68745.7</v>
      </c>
      <c r="M807" s="69">
        <f t="shared" si="491"/>
        <v>73911.114999999991</v>
      </c>
      <c r="N807" s="69">
        <f t="shared" si="491"/>
        <v>74758.200000000012</v>
      </c>
      <c r="O807" s="69">
        <f t="shared" si="491"/>
        <v>77746.900000000009</v>
      </c>
      <c r="W807" s="69">
        <f t="shared" ref="W807" si="492">SUM(W808:W811)</f>
        <v>80669.5</v>
      </c>
    </row>
    <row r="808" spans="1:23" ht="17.25" customHeight="1" x14ac:dyDescent="0.2">
      <c r="A808" s="140"/>
      <c r="B808" s="143"/>
      <c r="C808" s="99" t="s">
        <v>10</v>
      </c>
      <c r="D808" s="69">
        <f t="shared" si="486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18" customHeight="1" x14ac:dyDescent="0.2">
      <c r="A809" s="140"/>
      <c r="B809" s="143"/>
      <c r="C809" s="99" t="s">
        <v>11</v>
      </c>
      <c r="D809" s="69">
        <f t="shared" si="486"/>
        <v>0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W809" s="69">
        <v>0</v>
      </c>
    </row>
    <row r="810" spans="1:23" ht="18" customHeight="1" x14ac:dyDescent="0.2">
      <c r="A810" s="140"/>
      <c r="B810" s="143"/>
      <c r="C810" s="99" t="s">
        <v>12</v>
      </c>
      <c r="D810" s="69">
        <f t="shared" si="486"/>
        <v>667135.71499999997</v>
      </c>
      <c r="E810" s="69">
        <f>E815</f>
        <v>31873.5</v>
      </c>
      <c r="F810" s="69">
        <f>F815</f>
        <v>32215.200000000001</v>
      </c>
      <c r="G810" s="69">
        <f>G815</f>
        <v>32536.1</v>
      </c>
      <c r="H810" s="69">
        <f t="shared" ref="H810:O810" si="493">H815</f>
        <v>34467.4</v>
      </c>
      <c r="I810" s="69">
        <f t="shared" si="493"/>
        <v>42249.1</v>
      </c>
      <c r="J810" s="69">
        <f t="shared" si="493"/>
        <v>51925.4</v>
      </c>
      <c r="K810" s="69">
        <f t="shared" si="493"/>
        <v>66037.599999999991</v>
      </c>
      <c r="L810" s="69">
        <f t="shared" si="493"/>
        <v>68745.7</v>
      </c>
      <c r="M810" s="69">
        <f t="shared" si="493"/>
        <v>73911.114999999991</v>
      </c>
      <c r="N810" s="69">
        <f t="shared" si="493"/>
        <v>74758.200000000012</v>
      </c>
      <c r="O810" s="69">
        <f t="shared" si="493"/>
        <v>77746.900000000009</v>
      </c>
      <c r="W810" s="69">
        <f t="shared" ref="W810" si="494">W815</f>
        <v>80669.5</v>
      </c>
    </row>
    <row r="811" spans="1:23" ht="15.75" customHeight="1" x14ac:dyDescent="0.2">
      <c r="A811" s="140"/>
      <c r="B811" s="143"/>
      <c r="C811" s="99" t="s">
        <v>13</v>
      </c>
      <c r="D811" s="69">
        <f t="shared" si="486"/>
        <v>0</v>
      </c>
      <c r="E811" s="69">
        <v>0</v>
      </c>
      <c r="F811" s="69">
        <v>0</v>
      </c>
      <c r="G811" s="69">
        <v>0</v>
      </c>
      <c r="H811" s="69">
        <v>0</v>
      </c>
      <c r="I811" s="69">
        <v>0</v>
      </c>
      <c r="J811" s="69">
        <v>0</v>
      </c>
      <c r="K811" s="69">
        <v>0</v>
      </c>
      <c r="L811" s="69">
        <v>0</v>
      </c>
      <c r="M811" s="69">
        <v>0</v>
      </c>
      <c r="N811" s="69">
        <v>0</v>
      </c>
      <c r="O811" s="69">
        <v>0</v>
      </c>
      <c r="W811" s="69">
        <v>0</v>
      </c>
    </row>
    <row r="812" spans="1:23" ht="15.75" x14ac:dyDescent="0.2">
      <c r="A812" s="140" t="s">
        <v>143</v>
      </c>
      <c r="B812" s="143" t="s">
        <v>56</v>
      </c>
      <c r="C812" s="99" t="s">
        <v>7</v>
      </c>
      <c r="D812" s="69">
        <f t="shared" si="486"/>
        <v>667135.71499999997</v>
      </c>
      <c r="E812" s="69">
        <f t="shared" ref="E812:O812" si="495">SUM(E813:E816)</f>
        <v>31873.5</v>
      </c>
      <c r="F812" s="69">
        <f t="shared" si="495"/>
        <v>32215.200000000001</v>
      </c>
      <c r="G812" s="69">
        <f t="shared" si="495"/>
        <v>32536.1</v>
      </c>
      <c r="H812" s="69">
        <f t="shared" si="495"/>
        <v>34467.4</v>
      </c>
      <c r="I812" s="69">
        <f t="shared" si="495"/>
        <v>42249.1</v>
      </c>
      <c r="J812" s="69">
        <f t="shared" si="495"/>
        <v>51925.4</v>
      </c>
      <c r="K812" s="69">
        <f t="shared" si="495"/>
        <v>66037.599999999991</v>
      </c>
      <c r="L812" s="69">
        <f t="shared" si="495"/>
        <v>68745.7</v>
      </c>
      <c r="M812" s="69">
        <f t="shared" si="495"/>
        <v>73911.114999999991</v>
      </c>
      <c r="N812" s="69">
        <f t="shared" si="495"/>
        <v>74758.200000000012</v>
      </c>
      <c r="O812" s="69">
        <f t="shared" si="495"/>
        <v>77746.900000000009</v>
      </c>
      <c r="W812" s="69">
        <f t="shared" ref="W812" si="496">SUM(W813:W816)</f>
        <v>80669.5</v>
      </c>
    </row>
    <row r="813" spans="1:23" ht="15.75" x14ac:dyDescent="0.2">
      <c r="A813" s="140"/>
      <c r="B813" s="143"/>
      <c r="C813" s="99" t="s">
        <v>10</v>
      </c>
      <c r="D813" s="69">
        <f t="shared" si="486"/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.75" x14ac:dyDescent="0.2">
      <c r="A814" s="140"/>
      <c r="B814" s="143"/>
      <c r="C814" s="99" t="s">
        <v>11</v>
      </c>
      <c r="D814" s="69">
        <f t="shared" si="486"/>
        <v>0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v>0</v>
      </c>
      <c r="M814" s="69">
        <v>0</v>
      </c>
      <c r="N814" s="69">
        <v>0</v>
      </c>
      <c r="O814" s="69">
        <v>0</v>
      </c>
      <c r="W814" s="69">
        <v>0</v>
      </c>
    </row>
    <row r="815" spans="1:23" ht="15.75" x14ac:dyDescent="0.2">
      <c r="A815" s="140"/>
      <c r="B815" s="143"/>
      <c r="C815" s="99" t="s">
        <v>12</v>
      </c>
      <c r="D815" s="69">
        <f t="shared" si="486"/>
        <v>667135.71499999997</v>
      </c>
      <c r="E815" s="69">
        <v>31873.5</v>
      </c>
      <c r="F815" s="69">
        <v>32215.200000000001</v>
      </c>
      <c r="G815" s="69">
        <v>32536.1</v>
      </c>
      <c r="H815" s="69">
        <v>34467.4</v>
      </c>
      <c r="I815" s="69">
        <f>41599.1+650</f>
        <v>42249.1</v>
      </c>
      <c r="J815" s="69">
        <f>42649.1+750.8+7821.5+406.1+218.1+79.8</f>
        <v>51925.4</v>
      </c>
      <c r="K815" s="69">
        <f>57248.6+400.1+8388.9</f>
        <v>66037.599999999991</v>
      </c>
      <c r="L815" s="69">
        <f>67673.6+671.4-0.1+56.6+181.4+400-400-56.6-181.4-600+600+163+135.8+102</f>
        <v>68745.7</v>
      </c>
      <c r="M815" s="57">
        <f>70380+663.1+70.8+258.275+579.2-841.1+841.1-0.1+59.14+200+697.4+300+768.2-65+0.1</f>
        <v>73911.114999999991</v>
      </c>
      <c r="N815" s="69">
        <f>73150.6+1465.3+142.3</f>
        <v>74758.200000000012</v>
      </c>
      <c r="O815" s="69">
        <f>73150.6+4893.3-297</f>
        <v>77746.900000000009</v>
      </c>
      <c r="W815" s="69">
        <v>80669.5</v>
      </c>
    </row>
    <row r="816" spans="1:23" ht="21.75" customHeight="1" x14ac:dyDescent="0.2">
      <c r="A816" s="140"/>
      <c r="B816" s="143"/>
      <c r="C816" s="99" t="s">
        <v>13</v>
      </c>
      <c r="D816" s="69">
        <f t="shared" si="486"/>
        <v>0</v>
      </c>
      <c r="E816" s="69">
        <v>0</v>
      </c>
      <c r="F816" s="69">
        <v>0</v>
      </c>
      <c r="G816" s="69">
        <v>0</v>
      </c>
      <c r="H816" s="69">
        <v>0</v>
      </c>
      <c r="I816" s="69">
        <v>0</v>
      </c>
      <c r="J816" s="69">
        <v>0</v>
      </c>
      <c r="K816" s="69">
        <v>0</v>
      </c>
      <c r="L816" s="69">
        <v>0</v>
      </c>
      <c r="M816" s="69">
        <v>0</v>
      </c>
      <c r="N816" s="69">
        <v>0</v>
      </c>
      <c r="O816" s="69">
        <v>0</v>
      </c>
      <c r="W816" s="69">
        <v>0</v>
      </c>
    </row>
    <row r="817" spans="1:23" ht="21.75" customHeight="1" x14ac:dyDescent="0.2">
      <c r="A817" s="175" t="s">
        <v>476</v>
      </c>
      <c r="B817" s="175"/>
      <c r="C817" s="175"/>
      <c r="D817" s="175"/>
      <c r="E817" s="175"/>
      <c r="F817" s="175"/>
      <c r="G817" s="175"/>
      <c r="H817" s="175"/>
      <c r="I817" s="175"/>
      <c r="J817" s="175"/>
      <c r="K817" s="175"/>
      <c r="L817" s="175"/>
      <c r="M817" s="175"/>
      <c r="N817" s="175"/>
      <c r="O817" s="175"/>
      <c r="P817" s="175"/>
      <c r="Q817" s="175"/>
      <c r="R817" s="175"/>
      <c r="S817" s="175"/>
      <c r="T817" s="175"/>
      <c r="U817" s="175"/>
      <c r="V817" s="175"/>
      <c r="W817" s="175"/>
    </row>
    <row r="818" spans="1:23" ht="15.75" customHeight="1" x14ac:dyDescent="0.2">
      <c r="A818" s="175"/>
      <c r="B818" s="175"/>
      <c r="C818" s="175"/>
      <c r="D818" s="175"/>
      <c r="E818" s="175"/>
      <c r="F818" s="175"/>
      <c r="G818" s="175"/>
      <c r="H818" s="175"/>
      <c r="I818" s="175"/>
      <c r="J818" s="175"/>
      <c r="K818" s="175"/>
      <c r="L818" s="175"/>
      <c r="M818" s="175"/>
      <c r="N818" s="175"/>
      <c r="O818" s="175"/>
      <c r="P818" s="175"/>
      <c r="Q818" s="175"/>
      <c r="R818" s="175"/>
      <c r="S818" s="175"/>
      <c r="T818" s="175"/>
      <c r="U818" s="175"/>
      <c r="V818" s="175"/>
      <c r="W818" s="175"/>
    </row>
    <row r="827" spans="1:23" x14ac:dyDescent="0.2">
      <c r="D827" s="60"/>
    </row>
    <row r="829" spans="1:23" x14ac:dyDescent="0.2">
      <c r="D829" s="60"/>
    </row>
  </sheetData>
  <autoFilter ref="A7:Y816"/>
  <mergeCells count="303">
    <mergeCell ref="A817:W818"/>
    <mergeCell ref="D5:W5"/>
    <mergeCell ref="A481:A485"/>
    <mergeCell ref="B481:B485"/>
    <mergeCell ref="A758:A762"/>
    <mergeCell ref="B758:B762"/>
    <mergeCell ref="A743:A747"/>
    <mergeCell ref="B743:B747"/>
    <mergeCell ref="A748:A752"/>
    <mergeCell ref="B748:B752"/>
    <mergeCell ref="A738:A742"/>
    <mergeCell ref="B738:B742"/>
    <mergeCell ref="A356:A360"/>
    <mergeCell ref="B356:B360"/>
    <mergeCell ref="B466:B470"/>
    <mergeCell ref="A703:A707"/>
    <mergeCell ref="B703:B707"/>
    <mergeCell ref="A636:A640"/>
    <mergeCell ref="A671:A675"/>
    <mergeCell ref="A601:A606"/>
    <mergeCell ref="B539:B543"/>
    <mergeCell ref="B544:B550"/>
    <mergeCell ref="A534:A538"/>
    <mergeCell ref="B534:B538"/>
    <mergeCell ref="A519:A523"/>
    <mergeCell ref="B519:B523"/>
    <mergeCell ref="A361:A365"/>
    <mergeCell ref="B361:B365"/>
    <mergeCell ref="A563:A567"/>
    <mergeCell ref="A524:A528"/>
    <mergeCell ref="A733:A737"/>
    <mergeCell ref="B733:B737"/>
    <mergeCell ref="B366:B370"/>
    <mergeCell ref="A366:A370"/>
    <mergeCell ref="B371:B375"/>
    <mergeCell ref="B376:B380"/>
    <mergeCell ref="A371:A375"/>
    <mergeCell ref="A376:A380"/>
    <mergeCell ref="A499:A503"/>
    <mergeCell ref="A568:A572"/>
    <mergeCell ref="B556:B562"/>
    <mergeCell ref="A509:A513"/>
    <mergeCell ref="A492:A498"/>
    <mergeCell ref="A529:A533"/>
    <mergeCell ref="B595:B600"/>
    <mergeCell ref="B671:B675"/>
    <mergeCell ref="B666:B670"/>
    <mergeCell ref="A456:A460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51:B455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46:A450"/>
    <mergeCell ref="B446:B450"/>
    <mergeCell ref="B291:B295"/>
    <mergeCell ref="A296:A300"/>
    <mergeCell ref="A381:A385"/>
    <mergeCell ref="B381:B385"/>
    <mergeCell ref="B441:B445"/>
    <mergeCell ref="B436:B440"/>
    <mergeCell ref="B421:B425"/>
    <mergeCell ref="B461:B465"/>
    <mergeCell ref="A461:A465"/>
    <mergeCell ref="A471:A475"/>
    <mergeCell ref="B471:B475"/>
    <mergeCell ref="A514:A518"/>
    <mergeCell ref="B514:B518"/>
    <mergeCell ref="B499:B503"/>
    <mergeCell ref="B509:B513"/>
    <mergeCell ref="A476:A480"/>
    <mergeCell ref="B476:B480"/>
    <mergeCell ref="B486:B491"/>
    <mergeCell ref="A466:A470"/>
    <mergeCell ref="A426:A430"/>
    <mergeCell ref="B426:B430"/>
    <mergeCell ref="A431:A435"/>
    <mergeCell ref="B431:B435"/>
    <mergeCell ref="A451:A455"/>
    <mergeCell ref="B456:B460"/>
    <mergeCell ref="A61:A67"/>
    <mergeCell ref="B718:B722"/>
    <mergeCell ref="A723:A727"/>
    <mergeCell ref="B723:B727"/>
    <mergeCell ref="B504:B508"/>
    <mergeCell ref="A551:A555"/>
    <mergeCell ref="B492:B498"/>
    <mergeCell ref="B524:B528"/>
    <mergeCell ref="B630:B635"/>
    <mergeCell ref="B646:B650"/>
    <mergeCell ref="B641:B645"/>
    <mergeCell ref="A578:A582"/>
    <mergeCell ref="A573:A577"/>
    <mergeCell ref="A544:A550"/>
    <mergeCell ref="A588:A594"/>
    <mergeCell ref="B578:B582"/>
    <mergeCell ref="B588:B594"/>
    <mergeCell ref="B573:B577"/>
    <mergeCell ref="A681:A685"/>
    <mergeCell ref="B681:B685"/>
    <mergeCell ref="B551:B555"/>
    <mergeCell ref="A556:A562"/>
    <mergeCell ref="B568:B572"/>
    <mergeCell ref="A539:A543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812:A816"/>
    <mergeCell ref="B807:B811"/>
    <mergeCell ref="A807:A811"/>
    <mergeCell ref="B812:B816"/>
    <mergeCell ref="B676:B680"/>
    <mergeCell ref="A676:A680"/>
    <mergeCell ref="A777:A781"/>
    <mergeCell ref="B777:B781"/>
    <mergeCell ref="A802:A806"/>
    <mergeCell ref="B802:B806"/>
    <mergeCell ref="B770:B776"/>
    <mergeCell ref="A770:A776"/>
    <mergeCell ref="A782:A786"/>
    <mergeCell ref="B782:B786"/>
    <mergeCell ref="A692:A697"/>
    <mergeCell ref="B692:B697"/>
    <mergeCell ref="A763:A769"/>
    <mergeCell ref="A797:A801"/>
    <mergeCell ref="B797:B801"/>
    <mergeCell ref="A792:A796"/>
    <mergeCell ref="B792:B796"/>
    <mergeCell ref="A728:A732"/>
    <mergeCell ref="B728:B732"/>
    <mergeCell ref="A718:A722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86:A491"/>
    <mergeCell ref="B18:B27"/>
    <mergeCell ref="B56:B60"/>
    <mergeCell ref="B74:B80"/>
    <mergeCell ref="A351:A355"/>
    <mergeCell ref="A441:A445"/>
    <mergeCell ref="A436:A44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708:A712"/>
    <mergeCell ref="B708:B712"/>
    <mergeCell ref="B622:B629"/>
    <mergeCell ref="A595:A600"/>
    <mergeCell ref="A622:A629"/>
    <mergeCell ref="A666:A670"/>
    <mergeCell ref="A617:A621"/>
    <mergeCell ref="A646:A650"/>
    <mergeCell ref="A612:A616"/>
    <mergeCell ref="B651:B655"/>
    <mergeCell ref="A656:A660"/>
    <mergeCell ref="A651:A655"/>
    <mergeCell ref="A630:A635"/>
    <mergeCell ref="A641:A645"/>
    <mergeCell ref="A686:A691"/>
    <mergeCell ref="B686:B691"/>
    <mergeCell ref="B698:B702"/>
    <mergeCell ref="A698:A702"/>
    <mergeCell ref="B661:B665"/>
    <mergeCell ref="B636:B640"/>
    <mergeCell ref="B617:B621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53:A757"/>
    <mergeCell ref="B753:B757"/>
    <mergeCell ref="A50:A55"/>
    <mergeCell ref="B50:B55"/>
    <mergeCell ref="A787:A791"/>
    <mergeCell ref="B787:B791"/>
    <mergeCell ref="B529:B533"/>
    <mergeCell ref="A504:A508"/>
    <mergeCell ref="B601:B606"/>
    <mergeCell ref="A607:A611"/>
    <mergeCell ref="B607:B611"/>
    <mergeCell ref="A583:A587"/>
    <mergeCell ref="B583:B587"/>
    <mergeCell ref="B612:B616"/>
    <mergeCell ref="B563:B567"/>
    <mergeCell ref="A661:A665"/>
    <mergeCell ref="B656:B660"/>
    <mergeCell ref="B763:B769"/>
    <mergeCell ref="A713:A717"/>
    <mergeCell ref="B713:B717"/>
    <mergeCell ref="B144:B151"/>
    <mergeCell ref="B128:B136"/>
    <mergeCell ref="A421:A425"/>
    <mergeCell ref="B120:B12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6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2024-01-18T03:38:57Z</cp:lastPrinted>
  <dcterms:created xsi:type="dcterms:W3CDTF">1996-10-08T23:32:33Z</dcterms:created>
  <dcterms:modified xsi:type="dcterms:W3CDTF">2024-01-18T03:39:11Z</dcterms:modified>
</cp:coreProperties>
</file>