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valeva\Desktop\УТОЧНЕНИЕ ПРОГРАММЫ - СЕНТЯБРЬ   ДУМА\"/>
    </mc:Choice>
  </mc:AlternateContent>
  <bookViews>
    <workbookView xWindow="0" yWindow="0" windowWidth="25135" windowHeight="10185" tabRatio="438"/>
  </bookViews>
  <sheets>
    <sheet name="приложение 3" sheetId="4" r:id="rId1"/>
  </sheets>
  <externalReferences>
    <externalReference r:id="rId2"/>
  </externalReferences>
  <definedNames>
    <definedName name="OLE_LINK1" localSheetId="0">'приложение 3'!$B$340</definedName>
    <definedName name="_xlnm.Print_Titles" localSheetId="0">'приложение 3'!$9:$11</definedName>
    <definedName name="_xlnm.Print_Area" localSheetId="0">'приложение 3'!$A$1:$AU$494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6" i="4" l="1"/>
  <c r="O71" i="4"/>
  <c r="O383" i="4"/>
  <c r="O382" i="4"/>
  <c r="O50" i="4"/>
  <c r="O372" i="4"/>
  <c r="O167" i="4"/>
  <c r="O172" i="4"/>
  <c r="O430" i="4"/>
  <c r="O437" i="4"/>
  <c r="O162" i="4" l="1"/>
  <c r="O253" i="4"/>
  <c r="O138" i="4"/>
  <c r="O60" i="4"/>
  <c r="I430" i="4" l="1"/>
  <c r="O254" i="4" l="1"/>
  <c r="O470" i="4"/>
  <c r="O465" i="4"/>
  <c r="O460" i="4"/>
  <c r="O118" i="4" l="1"/>
  <c r="O117" i="4"/>
  <c r="O403" i="4" l="1"/>
  <c r="O388" i="4"/>
  <c r="O48" i="4" l="1"/>
  <c r="O309" i="4" l="1"/>
  <c r="O284" i="4" l="1"/>
  <c r="Q279" i="4"/>
  <c r="P279" i="4"/>
  <c r="O279" i="4"/>
  <c r="Q126" i="4"/>
  <c r="Q71" i="4"/>
  <c r="P71" i="4"/>
  <c r="Q50" i="4" l="1"/>
  <c r="P50" i="4"/>
  <c r="S71" i="4"/>
  <c r="R71" i="4"/>
  <c r="R19" i="4" l="1"/>
  <c r="S22" i="4" l="1"/>
  <c r="S15" i="4"/>
  <c r="R14" i="4"/>
  <c r="G493" i="4" l="1"/>
  <c r="G490" i="4"/>
  <c r="H493" i="4"/>
  <c r="H490" i="4"/>
  <c r="I493" i="4"/>
  <c r="I490" i="4"/>
  <c r="F493" i="4"/>
  <c r="E493" i="4"/>
  <c r="F490" i="4"/>
  <c r="E490" i="4"/>
  <c r="BJ484" i="4"/>
  <c r="BL484" i="4"/>
  <c r="BK484" i="4"/>
  <c r="BI484" i="4"/>
  <c r="Q484" i="4"/>
  <c r="Q333" i="4"/>
  <c r="E482" i="4"/>
  <c r="E483" i="4"/>
  <c r="E484" i="4"/>
  <c r="E485" i="4"/>
  <c r="BL481" i="4"/>
  <c r="BK481" i="4"/>
  <c r="BJ481" i="4"/>
  <c r="BI481" i="4"/>
  <c r="Q481" i="4"/>
  <c r="P481" i="4"/>
  <c r="O481" i="4"/>
  <c r="N481" i="4"/>
  <c r="M481" i="4"/>
  <c r="L481" i="4"/>
  <c r="K481" i="4"/>
  <c r="J481" i="4"/>
  <c r="I481" i="4"/>
  <c r="H481" i="4"/>
  <c r="G481" i="4"/>
  <c r="E481" i="4"/>
  <c r="O107" i="4"/>
  <c r="O106" i="4"/>
  <c r="O289" i="4"/>
  <c r="O288" i="4"/>
  <c r="O97" i="4"/>
  <c r="O96" i="4"/>
  <c r="P126" i="4"/>
  <c r="O126" i="4"/>
  <c r="Q127" i="4"/>
  <c r="P127" i="4"/>
  <c r="O127" i="4"/>
  <c r="Q35" i="4"/>
  <c r="Q60" i="4"/>
  <c r="P60" i="4"/>
  <c r="O147" i="4"/>
  <c r="P121" i="4"/>
  <c r="P33" i="4"/>
  <c r="O121" i="4"/>
  <c r="O33" i="4"/>
  <c r="P122" i="4"/>
  <c r="O122" i="4"/>
  <c r="O322" i="4"/>
  <c r="O320" i="4"/>
  <c r="Q357" i="4"/>
  <c r="P357" i="4"/>
  <c r="O357" i="4"/>
  <c r="Q34" i="4"/>
  <c r="P35" i="4"/>
  <c r="O34" i="4"/>
  <c r="Q33" i="4"/>
  <c r="Q337" i="4"/>
  <c r="Q338" i="4"/>
  <c r="Q339" i="4"/>
  <c r="Q336" i="4"/>
  <c r="Q335" i="4"/>
  <c r="P337" i="4"/>
  <c r="P338" i="4"/>
  <c r="P339" i="4"/>
  <c r="P336" i="4"/>
  <c r="O337" i="4"/>
  <c r="E337" i="4"/>
  <c r="O338" i="4"/>
  <c r="O339" i="4"/>
  <c r="E339" i="4"/>
  <c r="O336" i="4"/>
  <c r="N335" i="4"/>
  <c r="M335" i="4"/>
  <c r="L335" i="4"/>
  <c r="K335" i="4"/>
  <c r="J335" i="4"/>
  <c r="I335" i="4"/>
  <c r="H335" i="4"/>
  <c r="G335" i="4"/>
  <c r="H340" i="4"/>
  <c r="I340" i="4"/>
  <c r="J340" i="4"/>
  <c r="K340" i="4"/>
  <c r="L340" i="4"/>
  <c r="M340" i="4"/>
  <c r="N340" i="4"/>
  <c r="G340" i="4"/>
  <c r="G330" i="4"/>
  <c r="Q340" i="4"/>
  <c r="P340" i="4"/>
  <c r="E344" i="4"/>
  <c r="E343" i="4"/>
  <c r="E342" i="4"/>
  <c r="E341" i="4"/>
  <c r="E338" i="4"/>
  <c r="E336" i="4"/>
  <c r="O340" i="4"/>
  <c r="E174" i="4"/>
  <c r="E173" i="4"/>
  <c r="N170" i="4"/>
  <c r="E172" i="4"/>
  <c r="E171" i="4"/>
  <c r="Q170" i="4"/>
  <c r="P170" i="4"/>
  <c r="O170" i="4"/>
  <c r="E170" i="4" s="1"/>
  <c r="M170" i="4"/>
  <c r="L170" i="4"/>
  <c r="K170" i="4"/>
  <c r="J170" i="4"/>
  <c r="E340" i="4"/>
  <c r="O335" i="4"/>
  <c r="P34" i="4"/>
  <c r="P25" i="4" s="1"/>
  <c r="P335" i="4"/>
  <c r="E335" i="4"/>
  <c r="E169" i="4"/>
  <c r="E168" i="4"/>
  <c r="E167" i="4"/>
  <c r="E166" i="4"/>
  <c r="Q165" i="4"/>
  <c r="P165" i="4"/>
  <c r="O165" i="4"/>
  <c r="N165" i="4"/>
  <c r="M165" i="4"/>
  <c r="L165" i="4"/>
  <c r="K165" i="4"/>
  <c r="J165" i="4"/>
  <c r="E165" i="4"/>
  <c r="N71" i="4"/>
  <c r="N460" i="4"/>
  <c r="N403" i="4"/>
  <c r="N82" i="4"/>
  <c r="N122" i="4"/>
  <c r="N121" i="4"/>
  <c r="N120" i="4"/>
  <c r="AH20" i="4"/>
  <c r="N73" i="4"/>
  <c r="N372" i="4"/>
  <c r="N319" i="4"/>
  <c r="N138" i="4"/>
  <c r="N92" i="4"/>
  <c r="N383" i="4"/>
  <c r="N382" i="4"/>
  <c r="N254" i="4"/>
  <c r="N253" i="4"/>
  <c r="N60" i="4"/>
  <c r="N248" i="4"/>
  <c r="N437" i="4"/>
  <c r="N158" i="4"/>
  <c r="N147" i="4"/>
  <c r="N112" i="4"/>
  <c r="N50" i="4"/>
  <c r="N279" i="4"/>
  <c r="N470" i="4"/>
  <c r="N367" i="4"/>
  <c r="N362" i="4"/>
  <c r="N328" i="4"/>
  <c r="N322" i="4"/>
  <c r="N87" i="4"/>
  <c r="N152" i="4"/>
  <c r="O112" i="4"/>
  <c r="O377" i="4"/>
  <c r="N380" i="4"/>
  <c r="O380" i="4"/>
  <c r="P380" i="4"/>
  <c r="Q380" i="4"/>
  <c r="N315" i="4"/>
  <c r="O313" i="4"/>
  <c r="O315" i="4"/>
  <c r="P315" i="4"/>
  <c r="Q315" i="4"/>
  <c r="Q313" i="4"/>
  <c r="Q312" i="4"/>
  <c r="Q178" i="4"/>
  <c r="P178" i="4"/>
  <c r="Q177" i="4"/>
  <c r="Q25" i="4"/>
  <c r="P177" i="4"/>
  <c r="O35" i="4"/>
  <c r="E164" i="4"/>
  <c r="E163" i="4"/>
  <c r="E162" i="4"/>
  <c r="E161" i="4"/>
  <c r="Q160" i="4"/>
  <c r="P160" i="4"/>
  <c r="O160" i="4"/>
  <c r="E160" i="4" s="1"/>
  <c r="N160" i="4"/>
  <c r="M160" i="4"/>
  <c r="L160" i="4"/>
  <c r="K160" i="4"/>
  <c r="J160" i="4"/>
  <c r="E159" i="4"/>
  <c r="E158" i="4"/>
  <c r="E157" i="4"/>
  <c r="E156" i="4"/>
  <c r="Q155" i="4"/>
  <c r="P155" i="4"/>
  <c r="O155" i="4"/>
  <c r="N155" i="4"/>
  <c r="M155" i="4"/>
  <c r="L155" i="4"/>
  <c r="K155" i="4"/>
  <c r="J155" i="4"/>
  <c r="E155" i="4"/>
  <c r="O248" i="4"/>
  <c r="Q175" i="4"/>
  <c r="Q460" i="4"/>
  <c r="P460" i="4"/>
  <c r="O418" i="4"/>
  <c r="E418" i="4" s="1"/>
  <c r="N107" i="4"/>
  <c r="N106" i="4"/>
  <c r="N284" i="4"/>
  <c r="N283" i="4"/>
  <c r="N430" i="4"/>
  <c r="E154" i="4"/>
  <c r="E153" i="4"/>
  <c r="E152" i="4"/>
  <c r="E151" i="4"/>
  <c r="Q150" i="4"/>
  <c r="P150" i="4"/>
  <c r="O150" i="4"/>
  <c r="N150" i="4"/>
  <c r="M150" i="4"/>
  <c r="L150" i="4"/>
  <c r="K150" i="4"/>
  <c r="J150" i="4"/>
  <c r="E150" i="4"/>
  <c r="N325" i="4"/>
  <c r="E328" i="4"/>
  <c r="N97" i="4"/>
  <c r="N35" i="4"/>
  <c r="N96" i="4"/>
  <c r="N259" i="4"/>
  <c r="N320" i="4"/>
  <c r="N465" i="4"/>
  <c r="N126" i="4"/>
  <c r="N33" i="4"/>
  <c r="N127" i="4"/>
  <c r="N34" i="4"/>
  <c r="E121" i="4"/>
  <c r="N312" i="4"/>
  <c r="O330" i="4"/>
  <c r="P313" i="4"/>
  <c r="P312" i="4"/>
  <c r="O312" i="4"/>
  <c r="E334" i="4"/>
  <c r="E333" i="4"/>
  <c r="E332" i="4"/>
  <c r="E331" i="4"/>
  <c r="E321" i="4"/>
  <c r="Q330" i="4"/>
  <c r="P330" i="4"/>
  <c r="N330" i="4"/>
  <c r="M330" i="4"/>
  <c r="L330" i="4"/>
  <c r="K330" i="4"/>
  <c r="J330" i="4"/>
  <c r="I330" i="4"/>
  <c r="H330" i="4"/>
  <c r="E471" i="4"/>
  <c r="E470" i="4"/>
  <c r="E469" i="4"/>
  <c r="E468" i="4"/>
  <c r="Q467" i="4"/>
  <c r="P467" i="4"/>
  <c r="O467" i="4"/>
  <c r="N467" i="4"/>
  <c r="M467" i="4"/>
  <c r="L467" i="4"/>
  <c r="K467" i="4"/>
  <c r="J467" i="4"/>
  <c r="I467" i="4"/>
  <c r="H467" i="4"/>
  <c r="G467" i="4"/>
  <c r="F467" i="4"/>
  <c r="E466" i="4"/>
  <c r="M465" i="4"/>
  <c r="M462" i="4"/>
  <c r="L465" i="4"/>
  <c r="L462" i="4"/>
  <c r="I465" i="4"/>
  <c r="H465" i="4"/>
  <c r="E464" i="4"/>
  <c r="E463" i="4"/>
  <c r="Q462" i="4"/>
  <c r="P462" i="4"/>
  <c r="O462" i="4"/>
  <c r="K462" i="4"/>
  <c r="J462" i="4"/>
  <c r="G462" i="4"/>
  <c r="G452" i="4"/>
  <c r="F462" i="4"/>
  <c r="F418" i="4"/>
  <c r="E461" i="4"/>
  <c r="M460" i="4"/>
  <c r="M457" i="4"/>
  <c r="L460" i="4"/>
  <c r="L457" i="4"/>
  <c r="J460" i="4"/>
  <c r="J457" i="4"/>
  <c r="I460" i="4"/>
  <c r="I457" i="4"/>
  <c r="H460" i="4"/>
  <c r="H457" i="4"/>
  <c r="E459" i="4"/>
  <c r="E458" i="4"/>
  <c r="Q457" i="4"/>
  <c r="P457" i="4"/>
  <c r="O457" i="4"/>
  <c r="O452" i="4" s="1"/>
  <c r="E452" i="4" s="1"/>
  <c r="N457" i="4"/>
  <c r="K457" i="4"/>
  <c r="E456" i="4"/>
  <c r="Q455" i="4"/>
  <c r="P455" i="4"/>
  <c r="O455" i="4"/>
  <c r="K455" i="4"/>
  <c r="E454" i="4"/>
  <c r="E453" i="4"/>
  <c r="E451" i="4"/>
  <c r="E450" i="4"/>
  <c r="E449" i="4"/>
  <c r="E448" i="4"/>
  <c r="E447" i="4"/>
  <c r="M446" i="4"/>
  <c r="M445" i="4"/>
  <c r="L446" i="4"/>
  <c r="L445" i="4"/>
  <c r="K446" i="4"/>
  <c r="K445" i="4"/>
  <c r="J446" i="4"/>
  <c r="I446" i="4"/>
  <c r="H446" i="4"/>
  <c r="H445" i="4"/>
  <c r="G446" i="4"/>
  <c r="G445" i="4"/>
  <c r="J445" i="4"/>
  <c r="E444" i="4"/>
  <c r="E443" i="4"/>
  <c r="E442" i="4"/>
  <c r="E441" i="4"/>
  <c r="M440" i="4"/>
  <c r="L440" i="4"/>
  <c r="K440" i="4"/>
  <c r="J440" i="4"/>
  <c r="I440" i="4"/>
  <c r="H440" i="4"/>
  <c r="G440" i="4"/>
  <c r="E439" i="4"/>
  <c r="E438" i="4"/>
  <c r="M437" i="4"/>
  <c r="L437" i="4"/>
  <c r="L434" i="4"/>
  <c r="I437" i="4"/>
  <c r="I434" i="4"/>
  <c r="H437" i="4"/>
  <c r="H434" i="4"/>
  <c r="G437" i="4"/>
  <c r="G434" i="4"/>
  <c r="E436" i="4"/>
  <c r="E435" i="4"/>
  <c r="Q434" i="4"/>
  <c r="P434" i="4"/>
  <c r="O434" i="4"/>
  <c r="E434" i="4" s="1"/>
  <c r="N434" i="4"/>
  <c r="M434" i="4"/>
  <c r="K434" i="4"/>
  <c r="J434" i="4"/>
  <c r="E433" i="4"/>
  <c r="E432" i="4"/>
  <c r="Q431" i="4"/>
  <c r="Q425" i="4"/>
  <c r="P431" i="4"/>
  <c r="P425" i="4"/>
  <c r="O431" i="4"/>
  <c r="O425" i="4"/>
  <c r="N431" i="4"/>
  <c r="N425" i="4"/>
  <c r="M431" i="4"/>
  <c r="M425" i="4"/>
  <c r="L431" i="4"/>
  <c r="L425" i="4"/>
  <c r="K431" i="4"/>
  <c r="K425" i="4"/>
  <c r="J431" i="4"/>
  <c r="J425" i="4"/>
  <c r="I431" i="4"/>
  <c r="I425" i="4"/>
  <c r="H431" i="4"/>
  <c r="H425" i="4"/>
  <c r="M430" i="4"/>
  <c r="M424" i="4"/>
  <c r="L430" i="4"/>
  <c r="L427" i="4"/>
  <c r="I427" i="4"/>
  <c r="H430" i="4"/>
  <c r="G430" i="4"/>
  <c r="G424" i="4"/>
  <c r="E429" i="4"/>
  <c r="E428" i="4"/>
  <c r="Q427" i="4"/>
  <c r="P427" i="4"/>
  <c r="O427" i="4"/>
  <c r="E427" i="4" s="1"/>
  <c r="N427" i="4"/>
  <c r="K427" i="4"/>
  <c r="J427" i="4"/>
  <c r="E426" i="4"/>
  <c r="G425" i="4"/>
  <c r="Q424" i="4"/>
  <c r="P424" i="4"/>
  <c r="O424" i="4"/>
  <c r="E424" i="4" s="1"/>
  <c r="K424" i="4"/>
  <c r="J424" i="4"/>
  <c r="E423" i="4"/>
  <c r="E422" i="4"/>
  <c r="Q420" i="4"/>
  <c r="P420" i="4"/>
  <c r="O420" i="4"/>
  <c r="N420" i="4"/>
  <c r="M420" i="4"/>
  <c r="L420" i="4"/>
  <c r="K420" i="4"/>
  <c r="J420" i="4"/>
  <c r="I420" i="4"/>
  <c r="H420" i="4"/>
  <c r="G420" i="4"/>
  <c r="G419" i="4"/>
  <c r="E419" i="4"/>
  <c r="Q418" i="4"/>
  <c r="P418" i="4"/>
  <c r="K418" i="4"/>
  <c r="Q417" i="4"/>
  <c r="P417" i="4"/>
  <c r="O417" i="4"/>
  <c r="N417" i="4"/>
  <c r="M417" i="4"/>
  <c r="L417" i="4"/>
  <c r="K417" i="4"/>
  <c r="J417" i="4"/>
  <c r="I417" i="4"/>
  <c r="H417" i="4"/>
  <c r="G417" i="4"/>
  <c r="F417" i="4"/>
  <c r="Q416" i="4"/>
  <c r="P416" i="4"/>
  <c r="O416" i="4"/>
  <c r="N416" i="4"/>
  <c r="M416" i="4"/>
  <c r="L416" i="4"/>
  <c r="K416" i="4"/>
  <c r="J416" i="4"/>
  <c r="I416" i="4"/>
  <c r="H416" i="4"/>
  <c r="G416" i="4"/>
  <c r="F416" i="4"/>
  <c r="E414" i="4"/>
  <c r="E413" i="4"/>
  <c r="E412" i="4"/>
  <c r="E411" i="4"/>
  <c r="M410" i="4"/>
  <c r="L410" i="4"/>
  <c r="K410" i="4"/>
  <c r="J410" i="4"/>
  <c r="I410" i="4"/>
  <c r="H410" i="4"/>
  <c r="G410" i="4"/>
  <c r="F410" i="4"/>
  <c r="E409" i="4"/>
  <c r="E408" i="4"/>
  <c r="E407" i="4"/>
  <c r="E406" i="4"/>
  <c r="M405" i="4"/>
  <c r="L405" i="4"/>
  <c r="K405" i="4"/>
  <c r="J405" i="4"/>
  <c r="I405" i="4"/>
  <c r="H405" i="4"/>
  <c r="G405" i="4"/>
  <c r="F405" i="4"/>
  <c r="E404" i="4"/>
  <c r="M403" i="4"/>
  <c r="M400" i="4"/>
  <c r="M395" i="4"/>
  <c r="L403" i="4"/>
  <c r="L400" i="4"/>
  <c r="L395" i="4"/>
  <c r="E402" i="4"/>
  <c r="E401" i="4"/>
  <c r="Q400" i="4"/>
  <c r="Q395" i="4"/>
  <c r="P400" i="4"/>
  <c r="P395" i="4"/>
  <c r="O400" i="4"/>
  <c r="O395" i="4"/>
  <c r="E395" i="4" s="1"/>
  <c r="N400" i="4"/>
  <c r="N395" i="4"/>
  <c r="K400" i="4"/>
  <c r="K395" i="4"/>
  <c r="J400" i="4"/>
  <c r="J395" i="4"/>
  <c r="I400" i="4"/>
  <c r="I395" i="4"/>
  <c r="H400" i="4"/>
  <c r="H395" i="4"/>
  <c r="G400" i="4"/>
  <c r="G395" i="4"/>
  <c r="F400" i="4"/>
  <c r="E399" i="4"/>
  <c r="Q398" i="4"/>
  <c r="P398" i="4"/>
  <c r="O398" i="4"/>
  <c r="N398" i="4"/>
  <c r="K398" i="4"/>
  <c r="J398" i="4"/>
  <c r="I398" i="4"/>
  <c r="H398" i="4"/>
  <c r="G398" i="4"/>
  <c r="E397" i="4"/>
  <c r="E396" i="4"/>
  <c r="E394" i="4"/>
  <c r="E393" i="4"/>
  <c r="E392" i="4"/>
  <c r="E391" i="4"/>
  <c r="M390" i="4"/>
  <c r="L390" i="4"/>
  <c r="K390" i="4"/>
  <c r="J390" i="4"/>
  <c r="I390" i="4"/>
  <c r="H390" i="4"/>
  <c r="G390" i="4"/>
  <c r="F390" i="4"/>
  <c r="E389" i="4"/>
  <c r="N388" i="4"/>
  <c r="N385" i="4"/>
  <c r="N375" i="4"/>
  <c r="M388" i="4"/>
  <c r="M385" i="4"/>
  <c r="L388" i="4"/>
  <c r="L385" i="4"/>
  <c r="I388" i="4"/>
  <c r="G388" i="4"/>
  <c r="G385" i="4"/>
  <c r="E387" i="4"/>
  <c r="E386" i="4"/>
  <c r="Q385" i="4"/>
  <c r="Q375" i="4"/>
  <c r="P385" i="4"/>
  <c r="P375" i="4"/>
  <c r="O385" i="4"/>
  <c r="O375" i="4"/>
  <c r="E375" i="4" s="1"/>
  <c r="K385" i="4"/>
  <c r="J385" i="4"/>
  <c r="H385" i="4"/>
  <c r="F385" i="4"/>
  <c r="E384" i="4"/>
  <c r="M383" i="4"/>
  <c r="L383" i="4"/>
  <c r="I383" i="4"/>
  <c r="H383" i="4"/>
  <c r="G383" i="4"/>
  <c r="M382" i="4"/>
  <c r="L382" i="4"/>
  <c r="K382" i="4"/>
  <c r="K380" i="4"/>
  <c r="J382" i="4"/>
  <c r="J380" i="4"/>
  <c r="I382" i="4"/>
  <c r="I377" i="4"/>
  <c r="H382" i="4"/>
  <c r="G382" i="4"/>
  <c r="G377" i="4"/>
  <c r="E381" i="4"/>
  <c r="F380" i="4"/>
  <c r="Q379" i="4"/>
  <c r="P379" i="4"/>
  <c r="O379" i="4"/>
  <c r="N379" i="4"/>
  <c r="M379" i="4"/>
  <c r="L379" i="4"/>
  <c r="K379" i="4"/>
  <c r="J379" i="4"/>
  <c r="I379" i="4"/>
  <c r="H379" i="4"/>
  <c r="G379" i="4"/>
  <c r="Q378" i="4"/>
  <c r="P378" i="4"/>
  <c r="K378" i="4"/>
  <c r="J378" i="4"/>
  <c r="Q377" i="4"/>
  <c r="P377" i="4"/>
  <c r="N377" i="4"/>
  <c r="M377" i="4"/>
  <c r="E376" i="4"/>
  <c r="E374" i="4"/>
  <c r="E373" i="4"/>
  <c r="M372" i="4"/>
  <c r="M370" i="4"/>
  <c r="L372" i="4"/>
  <c r="I372" i="4"/>
  <c r="I370" i="4"/>
  <c r="H372" i="4"/>
  <c r="H370" i="4"/>
  <c r="G372" i="4"/>
  <c r="G370" i="4"/>
  <c r="E371" i="4"/>
  <c r="Q370" i="4"/>
  <c r="P370" i="4"/>
  <c r="O370" i="4"/>
  <c r="E370" i="4" s="1"/>
  <c r="N370" i="4"/>
  <c r="K370" i="4"/>
  <c r="J370" i="4"/>
  <c r="F370" i="4"/>
  <c r="E369" i="4"/>
  <c r="E368" i="4"/>
  <c r="M367" i="4"/>
  <c r="M365" i="4"/>
  <c r="L367" i="4"/>
  <c r="L365" i="4"/>
  <c r="H367" i="4"/>
  <c r="H365" i="4"/>
  <c r="G367" i="4"/>
  <c r="E366" i="4"/>
  <c r="Q365" i="4"/>
  <c r="P365" i="4"/>
  <c r="O365" i="4"/>
  <c r="N365" i="4"/>
  <c r="K365" i="4"/>
  <c r="J365" i="4"/>
  <c r="I365" i="4"/>
  <c r="F365" i="4"/>
  <c r="E364" i="4"/>
  <c r="E363" i="4"/>
  <c r="M362" i="4"/>
  <c r="M360" i="4"/>
  <c r="L362" i="4"/>
  <c r="L360" i="4"/>
  <c r="I362" i="4"/>
  <c r="I360" i="4"/>
  <c r="H362" i="4"/>
  <c r="E361" i="4"/>
  <c r="Q360" i="4"/>
  <c r="P360" i="4"/>
  <c r="O360" i="4"/>
  <c r="N360" i="4"/>
  <c r="K360" i="4"/>
  <c r="J360" i="4"/>
  <c r="H360" i="4"/>
  <c r="G360" i="4"/>
  <c r="F360" i="4"/>
  <c r="Q359" i="4"/>
  <c r="Q354" i="4"/>
  <c r="P359" i="4"/>
  <c r="P354" i="4"/>
  <c r="O359" i="4"/>
  <c r="O349" i="4"/>
  <c r="N359" i="4"/>
  <c r="M359" i="4"/>
  <c r="M349" i="4"/>
  <c r="L359" i="4"/>
  <c r="K359" i="4"/>
  <c r="J359" i="4"/>
  <c r="E358" i="4"/>
  <c r="P352" i="4"/>
  <c r="N357" i="4"/>
  <c r="N355" i="4"/>
  <c r="M357" i="4"/>
  <c r="L357" i="4"/>
  <c r="L355" i="4"/>
  <c r="G357" i="4"/>
  <c r="E356" i="4"/>
  <c r="Q355" i="4"/>
  <c r="P355" i="4"/>
  <c r="K355" i="4"/>
  <c r="J355" i="4"/>
  <c r="I355" i="4"/>
  <c r="H355" i="4"/>
  <c r="F355" i="4"/>
  <c r="Q353" i="4"/>
  <c r="P353" i="4"/>
  <c r="O353" i="4"/>
  <c r="N353" i="4"/>
  <c r="M353" i="4"/>
  <c r="L353" i="4"/>
  <c r="K353" i="4"/>
  <c r="J353" i="4"/>
  <c r="I353" i="4"/>
  <c r="H353" i="4"/>
  <c r="G353" i="4"/>
  <c r="Q352" i="4"/>
  <c r="K352" i="4"/>
  <c r="J352" i="4"/>
  <c r="Q351" i="4"/>
  <c r="P351" i="4"/>
  <c r="O351" i="4"/>
  <c r="N351" i="4"/>
  <c r="M351" i="4"/>
  <c r="L351" i="4"/>
  <c r="K351" i="4"/>
  <c r="J351" i="4"/>
  <c r="I351" i="4"/>
  <c r="H351" i="4"/>
  <c r="G351" i="4"/>
  <c r="Q348" i="4"/>
  <c r="P348" i="4"/>
  <c r="K348" i="4"/>
  <c r="J348" i="4"/>
  <c r="F348" i="4"/>
  <c r="Q347" i="4"/>
  <c r="K347" i="4"/>
  <c r="F347" i="4"/>
  <c r="Q346" i="4"/>
  <c r="P346" i="4"/>
  <c r="O346" i="4"/>
  <c r="N346" i="4"/>
  <c r="M346" i="4"/>
  <c r="L346" i="4"/>
  <c r="K346" i="4"/>
  <c r="J346" i="4"/>
  <c r="I346" i="4"/>
  <c r="H346" i="4"/>
  <c r="G346" i="4"/>
  <c r="F346" i="4"/>
  <c r="E329" i="4"/>
  <c r="E327" i="4"/>
  <c r="E326" i="4"/>
  <c r="M325" i="4"/>
  <c r="E325" i="4"/>
  <c r="E324" i="4"/>
  <c r="E323" i="4"/>
  <c r="M322" i="4"/>
  <c r="M315" i="4"/>
  <c r="M320" i="4"/>
  <c r="E319" i="4"/>
  <c r="Q318" i="4"/>
  <c r="P318" i="4"/>
  <c r="O318" i="4"/>
  <c r="L318" i="4"/>
  <c r="L311" i="4"/>
  <c r="K318" i="4"/>
  <c r="J318" i="4"/>
  <c r="I318" i="4"/>
  <c r="I311" i="4"/>
  <c r="H318" i="4"/>
  <c r="H311" i="4"/>
  <c r="G318" i="4"/>
  <c r="G311" i="4"/>
  <c r="F318" i="4"/>
  <c r="B318" i="4"/>
  <c r="Q317" i="4"/>
  <c r="Q311" i="4"/>
  <c r="P317" i="4"/>
  <c r="O317" i="4"/>
  <c r="O311" i="4"/>
  <c r="N317" i="4"/>
  <c r="M317" i="4"/>
  <c r="L317" i="4"/>
  <c r="K317" i="4"/>
  <c r="J317" i="4"/>
  <c r="I317" i="4"/>
  <c r="H317" i="4"/>
  <c r="G317" i="4"/>
  <c r="M316" i="4"/>
  <c r="E316" i="4"/>
  <c r="L315" i="4"/>
  <c r="K315" i="4"/>
  <c r="J315" i="4"/>
  <c r="I315" i="4"/>
  <c r="H315" i="4"/>
  <c r="G315" i="4"/>
  <c r="M314" i="4"/>
  <c r="E314" i="4"/>
  <c r="N313" i="4"/>
  <c r="L313" i="4"/>
  <c r="K313" i="4"/>
  <c r="J313" i="4"/>
  <c r="I313" i="4"/>
  <c r="H313" i="4"/>
  <c r="G313" i="4"/>
  <c r="M312" i="4"/>
  <c r="L312" i="4"/>
  <c r="K312" i="4"/>
  <c r="J312" i="4"/>
  <c r="I312" i="4"/>
  <c r="H312" i="4"/>
  <c r="G312" i="4"/>
  <c r="K311" i="4"/>
  <c r="J311" i="4"/>
  <c r="E310" i="4"/>
  <c r="E305" i="4"/>
  <c r="M309" i="4"/>
  <c r="E309" i="4"/>
  <c r="E304" i="4" s="1"/>
  <c r="E308" i="4"/>
  <c r="E303" i="4"/>
  <c r="E307" i="4"/>
  <c r="E302" i="4"/>
  <c r="Q306" i="4"/>
  <c r="Q301" i="4"/>
  <c r="P306" i="4"/>
  <c r="P301" i="4"/>
  <c r="O306" i="4"/>
  <c r="E306" i="4" s="1"/>
  <c r="E301" i="4" s="1"/>
  <c r="O301" i="4"/>
  <c r="N306" i="4"/>
  <c r="N301" i="4"/>
  <c r="L306" i="4"/>
  <c r="L301" i="4"/>
  <c r="K306" i="4"/>
  <c r="K301" i="4"/>
  <c r="J306" i="4"/>
  <c r="J301" i="4"/>
  <c r="I306" i="4"/>
  <c r="I301" i="4"/>
  <c r="H306" i="4"/>
  <c r="H301" i="4"/>
  <c r="G306" i="4"/>
  <c r="F306" i="4"/>
  <c r="Q305" i="4"/>
  <c r="P305" i="4"/>
  <c r="O305" i="4"/>
  <c r="N305" i="4"/>
  <c r="M305" i="4"/>
  <c r="L305" i="4"/>
  <c r="K305" i="4"/>
  <c r="J305" i="4"/>
  <c r="I305" i="4"/>
  <c r="H305" i="4"/>
  <c r="G305" i="4"/>
  <c r="Q304" i="4"/>
  <c r="P304" i="4"/>
  <c r="O304" i="4"/>
  <c r="N304" i="4"/>
  <c r="L304" i="4"/>
  <c r="K304" i="4"/>
  <c r="J304" i="4"/>
  <c r="I304" i="4"/>
  <c r="H304" i="4"/>
  <c r="G304" i="4"/>
  <c r="Q303" i="4"/>
  <c r="P303" i="4"/>
  <c r="O303" i="4"/>
  <c r="N303" i="4"/>
  <c r="M303" i="4"/>
  <c r="L303" i="4"/>
  <c r="K303" i="4"/>
  <c r="J303" i="4"/>
  <c r="I303" i="4"/>
  <c r="H303" i="4"/>
  <c r="G303" i="4"/>
  <c r="Q302" i="4"/>
  <c r="P302" i="4"/>
  <c r="O302" i="4"/>
  <c r="N302" i="4"/>
  <c r="M302" i="4"/>
  <c r="L302" i="4"/>
  <c r="K302" i="4"/>
  <c r="J302" i="4"/>
  <c r="I302" i="4"/>
  <c r="H302" i="4"/>
  <c r="G302" i="4"/>
  <c r="E300" i="4"/>
  <c r="E295" i="4"/>
  <c r="E299" i="4"/>
  <c r="E294" i="4"/>
  <c r="E298" i="4"/>
  <c r="E293" i="4"/>
  <c r="E297" i="4"/>
  <c r="E292" i="4"/>
  <c r="Q296" i="4"/>
  <c r="Q291" i="4"/>
  <c r="P296" i="4"/>
  <c r="P291" i="4"/>
  <c r="O296" i="4"/>
  <c r="O291" i="4"/>
  <c r="N296" i="4"/>
  <c r="N291" i="4"/>
  <c r="M296" i="4"/>
  <c r="M291" i="4"/>
  <c r="L296" i="4"/>
  <c r="L291" i="4"/>
  <c r="K296" i="4"/>
  <c r="K291" i="4"/>
  <c r="J296" i="4"/>
  <c r="J291" i="4"/>
  <c r="I296" i="4"/>
  <c r="I291" i="4"/>
  <c r="H296" i="4"/>
  <c r="H291" i="4"/>
  <c r="G296" i="4"/>
  <c r="G291" i="4"/>
  <c r="F296" i="4"/>
  <c r="Q295" i="4"/>
  <c r="P295" i="4"/>
  <c r="O295" i="4"/>
  <c r="N295" i="4"/>
  <c r="M295" i="4"/>
  <c r="L295" i="4"/>
  <c r="K295" i="4"/>
  <c r="J295" i="4"/>
  <c r="I295" i="4"/>
  <c r="H295" i="4"/>
  <c r="G295" i="4"/>
  <c r="Q294" i="4"/>
  <c r="P294" i="4"/>
  <c r="O294" i="4"/>
  <c r="N294" i="4"/>
  <c r="M294" i="4"/>
  <c r="L294" i="4"/>
  <c r="K294" i="4"/>
  <c r="J294" i="4"/>
  <c r="I294" i="4"/>
  <c r="H294" i="4"/>
  <c r="G294" i="4"/>
  <c r="Q293" i="4"/>
  <c r="P293" i="4"/>
  <c r="O293" i="4"/>
  <c r="N293" i="4"/>
  <c r="M293" i="4"/>
  <c r="L293" i="4"/>
  <c r="K293" i="4"/>
  <c r="J293" i="4"/>
  <c r="I293" i="4"/>
  <c r="H293" i="4"/>
  <c r="G293" i="4"/>
  <c r="Q292" i="4"/>
  <c r="P292" i="4"/>
  <c r="O292" i="4"/>
  <c r="N292" i="4"/>
  <c r="M292" i="4"/>
  <c r="L292" i="4"/>
  <c r="K292" i="4"/>
  <c r="J292" i="4"/>
  <c r="I292" i="4"/>
  <c r="H292" i="4"/>
  <c r="G292" i="4"/>
  <c r="E290" i="4"/>
  <c r="E289" i="4"/>
  <c r="E288" i="4"/>
  <c r="E287" i="4"/>
  <c r="Q286" i="4"/>
  <c r="P286" i="4"/>
  <c r="O286" i="4"/>
  <c r="N286" i="4"/>
  <c r="M286" i="4"/>
  <c r="L286" i="4"/>
  <c r="K286" i="4"/>
  <c r="J286" i="4"/>
  <c r="I286" i="4"/>
  <c r="H286" i="4"/>
  <c r="G286" i="4"/>
  <c r="F286" i="4"/>
  <c r="E285" i="4"/>
  <c r="E284" i="4"/>
  <c r="E283" i="4"/>
  <c r="E282" i="4"/>
  <c r="Q281" i="4"/>
  <c r="P281" i="4"/>
  <c r="O281" i="4"/>
  <c r="E281" i="4" s="1"/>
  <c r="N281" i="4"/>
  <c r="M281" i="4"/>
  <c r="L281" i="4"/>
  <c r="K281" i="4"/>
  <c r="J281" i="4"/>
  <c r="I281" i="4"/>
  <c r="H281" i="4"/>
  <c r="G281" i="4"/>
  <c r="F281" i="4"/>
  <c r="E280" i="4"/>
  <c r="M279" i="4"/>
  <c r="E279" i="4"/>
  <c r="E278" i="4"/>
  <c r="E277" i="4"/>
  <c r="Q276" i="4"/>
  <c r="P276" i="4"/>
  <c r="E276" i="4" s="1"/>
  <c r="O276" i="4"/>
  <c r="N276" i="4"/>
  <c r="L276" i="4"/>
  <c r="K276" i="4"/>
  <c r="J276" i="4"/>
  <c r="I276" i="4"/>
  <c r="H276" i="4"/>
  <c r="G276" i="4"/>
  <c r="F276" i="4"/>
  <c r="E275" i="4"/>
  <c r="E274" i="4"/>
  <c r="E273" i="4"/>
  <c r="E272" i="4"/>
  <c r="Q271" i="4"/>
  <c r="P271" i="4"/>
  <c r="O271" i="4"/>
  <c r="N271" i="4"/>
  <c r="M271" i="4"/>
  <c r="L271" i="4"/>
  <c r="K271" i="4"/>
  <c r="J271" i="4"/>
  <c r="I271" i="4"/>
  <c r="H271" i="4"/>
  <c r="G271" i="4"/>
  <c r="F271" i="4"/>
  <c r="E270" i="4"/>
  <c r="L269" i="4"/>
  <c r="E269" i="4"/>
  <c r="L268" i="4"/>
  <c r="E268" i="4"/>
  <c r="E267" i="4"/>
  <c r="Q266" i="4"/>
  <c r="P266" i="4"/>
  <c r="O266" i="4"/>
  <c r="N266" i="4"/>
  <c r="M266" i="4"/>
  <c r="K266" i="4"/>
  <c r="J266" i="4"/>
  <c r="I266" i="4"/>
  <c r="H266" i="4"/>
  <c r="G266" i="4"/>
  <c r="F266" i="4"/>
  <c r="E265" i="4"/>
  <c r="M264" i="4"/>
  <c r="L264" i="4"/>
  <c r="L263" i="4"/>
  <c r="E263" i="4"/>
  <c r="E262" i="4"/>
  <c r="Q261" i="4"/>
  <c r="P261" i="4"/>
  <c r="O261" i="4"/>
  <c r="N261" i="4"/>
  <c r="M261" i="4"/>
  <c r="K261" i="4"/>
  <c r="J261" i="4"/>
  <c r="I261" i="4"/>
  <c r="H261" i="4"/>
  <c r="G261" i="4"/>
  <c r="F261" i="4"/>
  <c r="E260" i="4"/>
  <c r="N256" i="4"/>
  <c r="L259" i="4"/>
  <c r="E258" i="4"/>
  <c r="E257" i="4"/>
  <c r="Q256" i="4"/>
  <c r="P256" i="4"/>
  <c r="O256" i="4"/>
  <c r="M256" i="4"/>
  <c r="K256" i="4"/>
  <c r="J256" i="4"/>
  <c r="I256" i="4"/>
  <c r="H256" i="4"/>
  <c r="G256" i="4"/>
  <c r="F256" i="4"/>
  <c r="E255" i="4"/>
  <c r="M254" i="4"/>
  <c r="L254" i="4"/>
  <c r="O177" i="4"/>
  <c r="E177" i="4" s="1"/>
  <c r="N251" i="4"/>
  <c r="M253" i="4"/>
  <c r="M177" i="4"/>
  <c r="L253" i="4"/>
  <c r="E252" i="4"/>
  <c r="Q251" i="4"/>
  <c r="P251" i="4"/>
  <c r="K251" i="4"/>
  <c r="J251" i="4"/>
  <c r="I251" i="4"/>
  <c r="H251" i="4"/>
  <c r="G251" i="4"/>
  <c r="F251" i="4"/>
  <c r="E250" i="4"/>
  <c r="E249" i="4"/>
  <c r="M248" i="4"/>
  <c r="E248" i="4"/>
  <c r="E247" i="4"/>
  <c r="E246" i="4"/>
  <c r="Q245" i="4"/>
  <c r="P245" i="4"/>
  <c r="O245" i="4"/>
  <c r="N245" i="4"/>
  <c r="L245" i="4"/>
  <c r="K245" i="4"/>
  <c r="J245" i="4"/>
  <c r="I245" i="4"/>
  <c r="H245" i="4"/>
  <c r="G245" i="4"/>
  <c r="F245" i="4"/>
  <c r="E244" i="4"/>
  <c r="E243" i="4"/>
  <c r="E242" i="4"/>
  <c r="E241" i="4"/>
  <c r="Q240" i="4"/>
  <c r="P240" i="4"/>
  <c r="O240" i="4"/>
  <c r="N240" i="4"/>
  <c r="M240" i="4"/>
  <c r="L240" i="4"/>
  <c r="K240" i="4"/>
  <c r="J240" i="4"/>
  <c r="I240" i="4"/>
  <c r="H240" i="4"/>
  <c r="G240" i="4"/>
  <c r="F240" i="4"/>
  <c r="E239" i="4"/>
  <c r="E238" i="4"/>
  <c r="E237" i="4"/>
  <c r="E236" i="4"/>
  <c r="Q235" i="4"/>
  <c r="P235" i="4"/>
  <c r="O235" i="4"/>
  <c r="N235" i="4"/>
  <c r="M235" i="4"/>
  <c r="L235" i="4"/>
  <c r="K235" i="4"/>
  <c r="J235" i="4"/>
  <c r="I235" i="4"/>
  <c r="H235" i="4"/>
  <c r="G235" i="4"/>
  <c r="F235" i="4"/>
  <c r="E234" i="4"/>
  <c r="J233" i="4"/>
  <c r="J230" i="4"/>
  <c r="E232" i="4"/>
  <c r="E231" i="4"/>
  <c r="Q230" i="4"/>
  <c r="P230" i="4"/>
  <c r="O230" i="4"/>
  <c r="N230" i="4"/>
  <c r="M230" i="4"/>
  <c r="L230" i="4"/>
  <c r="K230" i="4"/>
  <c r="I230" i="4"/>
  <c r="H230" i="4"/>
  <c r="G230" i="4"/>
  <c r="E229" i="4"/>
  <c r="K228" i="4"/>
  <c r="E228" i="4"/>
  <c r="K227" i="4"/>
  <c r="E227" i="4"/>
  <c r="E226" i="4"/>
  <c r="Q225" i="4"/>
  <c r="P225" i="4"/>
  <c r="O225" i="4"/>
  <c r="N225" i="4"/>
  <c r="M225" i="4"/>
  <c r="L225" i="4"/>
  <c r="J225" i="4"/>
  <c r="I225" i="4"/>
  <c r="H225" i="4"/>
  <c r="G225" i="4"/>
  <c r="F225" i="4"/>
  <c r="E224" i="4"/>
  <c r="E223" i="4"/>
  <c r="E222" i="4"/>
  <c r="E221" i="4"/>
  <c r="Q220" i="4"/>
  <c r="P220" i="4"/>
  <c r="O220" i="4"/>
  <c r="N220" i="4"/>
  <c r="M220" i="4"/>
  <c r="L220" i="4"/>
  <c r="K220" i="4"/>
  <c r="J220" i="4"/>
  <c r="I220" i="4"/>
  <c r="H220" i="4"/>
  <c r="G220" i="4"/>
  <c r="F220" i="4"/>
  <c r="E219" i="4"/>
  <c r="G218" i="4"/>
  <c r="E218" i="4"/>
  <c r="E217" i="4"/>
  <c r="E216" i="4"/>
  <c r="E215" i="4"/>
  <c r="Q214" i="4"/>
  <c r="P214" i="4"/>
  <c r="O214" i="4"/>
  <c r="N214" i="4"/>
  <c r="M214" i="4"/>
  <c r="L214" i="4"/>
  <c r="K214" i="4"/>
  <c r="J214" i="4"/>
  <c r="I214" i="4"/>
  <c r="H214" i="4"/>
  <c r="G214" i="4"/>
  <c r="E213" i="4"/>
  <c r="E212" i="4"/>
  <c r="E211" i="4"/>
  <c r="E210" i="4"/>
  <c r="E209" i="4"/>
  <c r="Q208" i="4"/>
  <c r="P208" i="4"/>
  <c r="O208" i="4"/>
  <c r="N208" i="4"/>
  <c r="M208" i="4"/>
  <c r="L208" i="4"/>
  <c r="K208" i="4"/>
  <c r="J208" i="4"/>
  <c r="I208" i="4"/>
  <c r="H208" i="4"/>
  <c r="G208" i="4"/>
  <c r="E207" i="4"/>
  <c r="G206" i="4"/>
  <c r="E206" i="4"/>
  <c r="N205" i="4"/>
  <c r="K205" i="4"/>
  <c r="K202" i="4"/>
  <c r="I205" i="4"/>
  <c r="I202" i="4"/>
  <c r="H205" i="4"/>
  <c r="H202" i="4"/>
  <c r="G205" i="4"/>
  <c r="N204" i="4"/>
  <c r="E204" i="4"/>
  <c r="E203" i="4"/>
  <c r="Q202" i="4"/>
  <c r="P202" i="4"/>
  <c r="O202" i="4"/>
  <c r="M202" i="4"/>
  <c r="L202" i="4"/>
  <c r="J202" i="4"/>
  <c r="F202" i="4"/>
  <c r="E201" i="4"/>
  <c r="E200" i="4"/>
  <c r="E199" i="4"/>
  <c r="E198" i="4"/>
  <c r="J197" i="4"/>
  <c r="I197" i="4"/>
  <c r="H197" i="4"/>
  <c r="G197" i="4"/>
  <c r="F197" i="4"/>
  <c r="E196" i="4"/>
  <c r="M195" i="4"/>
  <c r="M192" i="4"/>
  <c r="L195" i="4"/>
  <c r="L192" i="4"/>
  <c r="J195" i="4"/>
  <c r="J192" i="4"/>
  <c r="I195" i="4"/>
  <c r="H195" i="4"/>
  <c r="H192" i="4"/>
  <c r="E194" i="4"/>
  <c r="E193" i="4"/>
  <c r="Q192" i="4"/>
  <c r="P192" i="4"/>
  <c r="O192" i="4"/>
  <c r="N192" i="4"/>
  <c r="K192" i="4"/>
  <c r="G192" i="4"/>
  <c r="F192" i="4"/>
  <c r="E191" i="4"/>
  <c r="E190" i="4"/>
  <c r="E189" i="4"/>
  <c r="E188" i="4"/>
  <c r="M187" i="4"/>
  <c r="L187" i="4"/>
  <c r="K187" i="4"/>
  <c r="J187" i="4"/>
  <c r="I187" i="4"/>
  <c r="H187" i="4"/>
  <c r="G187" i="4"/>
  <c r="F187" i="4"/>
  <c r="E186" i="4"/>
  <c r="E185" i="4"/>
  <c r="E184" i="4"/>
  <c r="E183" i="4"/>
  <c r="M182" i="4"/>
  <c r="L182" i="4"/>
  <c r="K182" i="4"/>
  <c r="J182" i="4"/>
  <c r="I182" i="4"/>
  <c r="H182" i="4"/>
  <c r="G182" i="4"/>
  <c r="F182" i="4"/>
  <c r="E181" i="4"/>
  <c r="Q180" i="4"/>
  <c r="P180" i="4"/>
  <c r="O180" i="4"/>
  <c r="N180" i="4"/>
  <c r="N30" i="4"/>
  <c r="M180" i="4"/>
  <c r="L180" i="4"/>
  <c r="K180" i="4"/>
  <c r="J180" i="4"/>
  <c r="I180" i="4"/>
  <c r="H180" i="4"/>
  <c r="G180" i="4"/>
  <c r="Q179" i="4"/>
  <c r="P179" i="4"/>
  <c r="O179" i="4"/>
  <c r="N179" i="4"/>
  <c r="M179" i="4"/>
  <c r="L179" i="4"/>
  <c r="K179" i="4"/>
  <c r="J179" i="4"/>
  <c r="I179" i="4"/>
  <c r="H179" i="4"/>
  <c r="J177" i="4"/>
  <c r="I177" i="4"/>
  <c r="H177" i="4"/>
  <c r="G177" i="4"/>
  <c r="X176" i="4"/>
  <c r="W176" i="4"/>
  <c r="V176" i="4"/>
  <c r="U176" i="4"/>
  <c r="T176" i="4"/>
  <c r="Q176" i="4"/>
  <c r="P176" i="4"/>
  <c r="O176" i="4"/>
  <c r="N176" i="4"/>
  <c r="N24" i="4"/>
  <c r="N15" i="4"/>
  <c r="M176" i="4"/>
  <c r="L176" i="4"/>
  <c r="K176" i="4"/>
  <c r="J176" i="4"/>
  <c r="I176" i="4"/>
  <c r="H176" i="4"/>
  <c r="G176" i="4"/>
  <c r="E149" i="4"/>
  <c r="E148" i="4"/>
  <c r="E147" i="4"/>
  <c r="E146" i="4"/>
  <c r="Q145" i="4"/>
  <c r="P145" i="4"/>
  <c r="O145" i="4"/>
  <c r="N145" i="4"/>
  <c r="M145" i="4"/>
  <c r="L145" i="4"/>
  <c r="K145" i="4"/>
  <c r="J145" i="4"/>
  <c r="E144" i="4"/>
  <c r="M143" i="4"/>
  <c r="E143" i="4"/>
  <c r="E142" i="4"/>
  <c r="E141" i="4"/>
  <c r="Q140" i="4"/>
  <c r="P140" i="4"/>
  <c r="O140" i="4"/>
  <c r="N140" i="4"/>
  <c r="L140" i="4"/>
  <c r="K140" i="4"/>
  <c r="J140" i="4"/>
  <c r="E139" i="4"/>
  <c r="M138" i="4"/>
  <c r="E138" i="4"/>
  <c r="E137" i="4"/>
  <c r="E136" i="4"/>
  <c r="Q135" i="4"/>
  <c r="P135" i="4"/>
  <c r="O135" i="4"/>
  <c r="E135" i="4" s="1"/>
  <c r="N135" i="4"/>
  <c r="L135" i="4"/>
  <c r="K135" i="4"/>
  <c r="J135" i="4"/>
  <c r="E134" i="4"/>
  <c r="E133" i="4"/>
  <c r="E132" i="4"/>
  <c r="E131" i="4"/>
  <c r="Q130" i="4"/>
  <c r="P130" i="4"/>
  <c r="O130" i="4"/>
  <c r="N130" i="4"/>
  <c r="M130" i="4"/>
  <c r="L130" i="4"/>
  <c r="K130" i="4"/>
  <c r="J130" i="4"/>
  <c r="E129" i="4"/>
  <c r="L128" i="4"/>
  <c r="P125" i="4"/>
  <c r="M127" i="4"/>
  <c r="L127" i="4"/>
  <c r="E126" i="4"/>
  <c r="Q125" i="4"/>
  <c r="O125" i="4"/>
  <c r="N125" i="4"/>
  <c r="K125" i="4"/>
  <c r="J125" i="4"/>
  <c r="E124" i="4"/>
  <c r="E123" i="4"/>
  <c r="M122" i="4"/>
  <c r="M120" i="4"/>
  <c r="L122" i="4"/>
  <c r="L120" i="4"/>
  <c r="Q120" i="4"/>
  <c r="P120" i="4"/>
  <c r="O120" i="4"/>
  <c r="K120" i="4"/>
  <c r="J120" i="4"/>
  <c r="E119" i="4"/>
  <c r="M118" i="4"/>
  <c r="E118" i="4"/>
  <c r="M117" i="4"/>
  <c r="E117" i="4"/>
  <c r="E116" i="4"/>
  <c r="Q115" i="4"/>
  <c r="P115" i="4"/>
  <c r="O115" i="4"/>
  <c r="E115" i="4" s="1"/>
  <c r="N115" i="4"/>
  <c r="L115" i="4"/>
  <c r="K115" i="4"/>
  <c r="J115" i="4"/>
  <c r="N109" i="4"/>
  <c r="M112" i="4"/>
  <c r="M109" i="4"/>
  <c r="L112" i="4"/>
  <c r="L109" i="4"/>
  <c r="E111" i="4"/>
  <c r="E110" i="4"/>
  <c r="Q109" i="4"/>
  <c r="P109" i="4"/>
  <c r="O109" i="4"/>
  <c r="K109" i="4"/>
  <c r="J109" i="4"/>
  <c r="E108" i="4"/>
  <c r="M107" i="4"/>
  <c r="E107" i="4"/>
  <c r="E106" i="4"/>
  <c r="E105" i="4"/>
  <c r="Q104" i="4"/>
  <c r="P104" i="4"/>
  <c r="O104" i="4"/>
  <c r="N104" i="4"/>
  <c r="L104" i="4"/>
  <c r="K104" i="4"/>
  <c r="J104" i="4"/>
  <c r="E103" i="4"/>
  <c r="E102" i="4"/>
  <c r="L101" i="4"/>
  <c r="E101" i="4"/>
  <c r="E100" i="4"/>
  <c r="Q99" i="4"/>
  <c r="P99" i="4"/>
  <c r="O99" i="4"/>
  <c r="N99" i="4"/>
  <c r="M99" i="4"/>
  <c r="K99" i="4"/>
  <c r="J99" i="4"/>
  <c r="E98" i="4"/>
  <c r="M97" i="4"/>
  <c r="L97" i="4"/>
  <c r="M96" i="4"/>
  <c r="L96" i="4"/>
  <c r="E95" i="4"/>
  <c r="Q94" i="4"/>
  <c r="P94" i="4"/>
  <c r="O94" i="4"/>
  <c r="N94" i="4"/>
  <c r="K94" i="4"/>
  <c r="J94" i="4"/>
  <c r="E93" i="4"/>
  <c r="N89" i="4"/>
  <c r="M92" i="4"/>
  <c r="M89" i="4"/>
  <c r="L92" i="4"/>
  <c r="L89" i="4"/>
  <c r="I92" i="4"/>
  <c r="I89" i="4"/>
  <c r="H92" i="4"/>
  <c r="E91" i="4"/>
  <c r="E90" i="4"/>
  <c r="Q89" i="4"/>
  <c r="P89" i="4"/>
  <c r="O89" i="4"/>
  <c r="K89" i="4"/>
  <c r="J89" i="4"/>
  <c r="G89" i="4"/>
  <c r="F89" i="4"/>
  <c r="E88" i="4"/>
  <c r="M87" i="4"/>
  <c r="E87" i="4"/>
  <c r="E86" i="4"/>
  <c r="E85" i="4"/>
  <c r="Q84" i="4"/>
  <c r="P84" i="4"/>
  <c r="O84" i="4"/>
  <c r="N84" i="4"/>
  <c r="L84" i="4"/>
  <c r="K84" i="4"/>
  <c r="J84" i="4"/>
  <c r="I84" i="4"/>
  <c r="H84" i="4"/>
  <c r="G84" i="4"/>
  <c r="F84" i="4"/>
  <c r="E83" i="4"/>
  <c r="M82" i="4"/>
  <c r="L82" i="4"/>
  <c r="L79" i="4"/>
  <c r="I82" i="4"/>
  <c r="H82" i="4"/>
  <c r="H79" i="4"/>
  <c r="E81" i="4"/>
  <c r="E80" i="4"/>
  <c r="Q79" i="4"/>
  <c r="P79" i="4"/>
  <c r="O79" i="4"/>
  <c r="N79" i="4"/>
  <c r="K79" i="4"/>
  <c r="J79" i="4"/>
  <c r="G79" i="4"/>
  <c r="F79" i="4"/>
  <c r="E78" i="4"/>
  <c r="E77" i="4"/>
  <c r="E76" i="4"/>
  <c r="E75" i="4"/>
  <c r="M74" i="4"/>
  <c r="L74" i="4"/>
  <c r="K74" i="4"/>
  <c r="J74" i="4"/>
  <c r="I74" i="4"/>
  <c r="H74" i="4"/>
  <c r="G74" i="4"/>
  <c r="F74" i="4"/>
  <c r="G73" i="4"/>
  <c r="E73" i="4"/>
  <c r="G72" i="4"/>
  <c r="E72" i="4"/>
  <c r="M71" i="4"/>
  <c r="M68" i="4"/>
  <c r="L71" i="4"/>
  <c r="I71" i="4"/>
  <c r="I68" i="4"/>
  <c r="H71" i="4"/>
  <c r="H68" i="4"/>
  <c r="G71" i="4"/>
  <c r="E70" i="4"/>
  <c r="E69" i="4"/>
  <c r="Q68" i="4"/>
  <c r="P68" i="4"/>
  <c r="O68" i="4"/>
  <c r="E68" i="4" s="1"/>
  <c r="N68" i="4"/>
  <c r="K68" i="4"/>
  <c r="J68" i="4"/>
  <c r="F68" i="4"/>
  <c r="E67" i="4"/>
  <c r="E66" i="4"/>
  <c r="E65" i="4"/>
  <c r="E64" i="4"/>
  <c r="M63" i="4"/>
  <c r="L63" i="4"/>
  <c r="K63" i="4"/>
  <c r="J63" i="4"/>
  <c r="I63" i="4"/>
  <c r="H63" i="4"/>
  <c r="G63" i="4"/>
  <c r="F63" i="4"/>
  <c r="E62" i="4"/>
  <c r="E61" i="4"/>
  <c r="P58" i="4"/>
  <c r="O58" i="4"/>
  <c r="M60" i="4"/>
  <c r="L60" i="4"/>
  <c r="L58" i="4"/>
  <c r="I60" i="4"/>
  <c r="I58" i="4"/>
  <c r="H60" i="4"/>
  <c r="H58" i="4"/>
  <c r="G60" i="4"/>
  <c r="G58" i="4"/>
  <c r="E59" i="4"/>
  <c r="Q58" i="4"/>
  <c r="N58" i="4"/>
  <c r="M58" i="4"/>
  <c r="K58" i="4"/>
  <c r="J58" i="4"/>
  <c r="F58" i="4"/>
  <c r="E57" i="4"/>
  <c r="E56" i="4"/>
  <c r="E55" i="4"/>
  <c r="E54" i="4"/>
  <c r="L53" i="4"/>
  <c r="K53" i="4"/>
  <c r="J53" i="4"/>
  <c r="I53" i="4"/>
  <c r="H53" i="4"/>
  <c r="G53" i="4"/>
  <c r="F53" i="4"/>
  <c r="E52" i="4"/>
  <c r="E51" i="4"/>
  <c r="N48" i="4"/>
  <c r="M50" i="4"/>
  <c r="M48" i="4"/>
  <c r="L50" i="4"/>
  <c r="I50" i="4"/>
  <c r="I48" i="4"/>
  <c r="H50" i="4"/>
  <c r="H48" i="4"/>
  <c r="G50" i="4"/>
  <c r="E49" i="4"/>
  <c r="Q48" i="4"/>
  <c r="P48" i="4"/>
  <c r="L48" i="4"/>
  <c r="K48" i="4"/>
  <c r="J48" i="4"/>
  <c r="F48" i="4"/>
  <c r="E47" i="4"/>
  <c r="E46" i="4"/>
  <c r="E45" i="4"/>
  <c r="E44" i="4"/>
  <c r="K43" i="4"/>
  <c r="J43" i="4"/>
  <c r="I43" i="4"/>
  <c r="H43" i="4"/>
  <c r="G43" i="4"/>
  <c r="F43" i="4"/>
  <c r="F41" i="4"/>
  <c r="E41" i="4"/>
  <c r="H40" i="4"/>
  <c r="G40" i="4"/>
  <c r="E39" i="4"/>
  <c r="Q38" i="4"/>
  <c r="P38" i="4"/>
  <c r="O38" i="4"/>
  <c r="N38" i="4"/>
  <c r="M38" i="4"/>
  <c r="L38" i="4"/>
  <c r="K38" i="4"/>
  <c r="J38" i="4"/>
  <c r="I38" i="4"/>
  <c r="H38" i="4"/>
  <c r="Q37" i="4"/>
  <c r="P37" i="4"/>
  <c r="O37" i="4"/>
  <c r="N37" i="4"/>
  <c r="N32" i="4"/>
  <c r="M37" i="4"/>
  <c r="L37" i="4"/>
  <c r="K37" i="4"/>
  <c r="J37" i="4"/>
  <c r="I37" i="4"/>
  <c r="H37" i="4"/>
  <c r="Q36" i="4"/>
  <c r="P36" i="4"/>
  <c r="O36" i="4"/>
  <c r="N36" i="4"/>
  <c r="M36" i="4"/>
  <c r="L36" i="4"/>
  <c r="K36" i="4"/>
  <c r="J36" i="4"/>
  <c r="I36" i="4"/>
  <c r="H36" i="4"/>
  <c r="K35" i="4"/>
  <c r="J35" i="4"/>
  <c r="K34" i="4"/>
  <c r="K32" i="4"/>
  <c r="J34" i="4"/>
  <c r="M33" i="4"/>
  <c r="L33" i="4"/>
  <c r="K33" i="4"/>
  <c r="J33" i="4"/>
  <c r="I33" i="4"/>
  <c r="H33" i="4"/>
  <c r="H24" i="4"/>
  <c r="H15" i="4"/>
  <c r="G33" i="4"/>
  <c r="Q31" i="4"/>
  <c r="P31" i="4"/>
  <c r="O31" i="4"/>
  <c r="N31" i="4"/>
  <c r="M31" i="4"/>
  <c r="L31" i="4"/>
  <c r="K31" i="4"/>
  <c r="J31" i="4"/>
  <c r="I31" i="4"/>
  <c r="H31" i="4"/>
  <c r="G31" i="4"/>
  <c r="F31" i="4"/>
  <c r="Q29" i="4"/>
  <c r="Q20" i="4"/>
  <c r="P29" i="4"/>
  <c r="P20" i="4"/>
  <c r="O29" i="4"/>
  <c r="O20" i="4"/>
  <c r="N29" i="4"/>
  <c r="N20" i="4"/>
  <c r="M29" i="4"/>
  <c r="M20" i="4"/>
  <c r="L29" i="4"/>
  <c r="L20" i="4"/>
  <c r="K29" i="4"/>
  <c r="K20" i="4"/>
  <c r="J29" i="4"/>
  <c r="J20" i="4"/>
  <c r="I29" i="4"/>
  <c r="I20" i="4"/>
  <c r="H29" i="4"/>
  <c r="H20" i="4"/>
  <c r="E26" i="4"/>
  <c r="F25" i="4"/>
  <c r="M24" i="4"/>
  <c r="M15" i="4"/>
  <c r="L24" i="4"/>
  <c r="L15" i="4"/>
  <c r="K24" i="4"/>
  <c r="K15" i="4"/>
  <c r="G24" i="4"/>
  <c r="G15" i="4"/>
  <c r="F24" i="4"/>
  <c r="AF20" i="4"/>
  <c r="AD20" i="4"/>
  <c r="E17" i="4"/>
  <c r="Y7" i="4"/>
  <c r="G378" i="4"/>
  <c r="O24" i="4"/>
  <c r="O15" i="4"/>
  <c r="P24" i="4"/>
  <c r="P15" i="4"/>
  <c r="Q16" i="4"/>
  <c r="N378" i="4"/>
  <c r="E40" i="4"/>
  <c r="Q24" i="4"/>
  <c r="Q15" i="4" s="1"/>
  <c r="E330" i="4"/>
  <c r="M455" i="4"/>
  <c r="P452" i="4"/>
  <c r="M452" i="4"/>
  <c r="K377" i="4"/>
  <c r="G380" i="4"/>
  <c r="G375" i="4"/>
  <c r="I348" i="4"/>
  <c r="K375" i="4"/>
  <c r="M318" i="4"/>
  <c r="M311" i="4"/>
  <c r="Q452" i="4"/>
  <c r="P349" i="4"/>
  <c r="P22" i="4"/>
  <c r="Q415" i="4"/>
  <c r="M115" i="4"/>
  <c r="Q349" i="4"/>
  <c r="Q22" i="4"/>
  <c r="E440" i="4"/>
  <c r="P175" i="4"/>
  <c r="Q32" i="4"/>
  <c r="I455" i="4"/>
  <c r="J347" i="4"/>
  <c r="J345" i="4"/>
  <c r="G348" i="4"/>
  <c r="M354" i="4"/>
  <c r="H352" i="4"/>
  <c r="J377" i="4"/>
  <c r="Q421" i="4"/>
  <c r="J452" i="4"/>
  <c r="O22" i="4"/>
  <c r="L35" i="4"/>
  <c r="E271" i="4"/>
  <c r="J375" i="4"/>
  <c r="E96" i="4"/>
  <c r="J25" i="4"/>
  <c r="J16" i="4"/>
  <c r="E180" i="4"/>
  <c r="M380" i="4"/>
  <c r="J175" i="4"/>
  <c r="J32" i="4"/>
  <c r="M34" i="4"/>
  <c r="L99" i="4"/>
  <c r="E99" i="4"/>
  <c r="L348" i="4"/>
  <c r="L398" i="4"/>
  <c r="E410" i="4"/>
  <c r="F415" i="4"/>
  <c r="M135" i="4"/>
  <c r="E235" i="4"/>
  <c r="O354" i="4"/>
  <c r="N350" i="4"/>
  <c r="J418" i="4"/>
  <c r="J415" i="4"/>
  <c r="I424" i="4"/>
  <c r="E446" i="4"/>
  <c r="E445" i="4"/>
  <c r="I462" i="4"/>
  <c r="I452" i="4"/>
  <c r="M84" i="4"/>
  <c r="E84" i="4"/>
  <c r="J178" i="4"/>
  <c r="J28" i="4"/>
  <c r="M22" i="4"/>
  <c r="L378" i="4"/>
  <c r="J421" i="4"/>
  <c r="I445" i="4"/>
  <c r="K452" i="4"/>
  <c r="I421" i="4"/>
  <c r="I418" i="4"/>
  <c r="I415" i="4"/>
  <c r="I35" i="4"/>
  <c r="E112" i="4"/>
  <c r="E130" i="4"/>
  <c r="H178" i="4"/>
  <c r="M276" i="4"/>
  <c r="M304" i="4"/>
  <c r="E317" i="4"/>
  <c r="N347" i="4"/>
  <c r="Q345" i="4"/>
  <c r="M352" i="4"/>
  <c r="H350" i="4"/>
  <c r="M378" i="4"/>
  <c r="E420" i="4"/>
  <c r="K421" i="4"/>
  <c r="P421" i="4"/>
  <c r="E437" i="4"/>
  <c r="I28" i="4"/>
  <c r="M30" i="4"/>
  <c r="M21" i="4"/>
  <c r="E43" i="4"/>
  <c r="G68" i="4"/>
  <c r="L178" i="4"/>
  <c r="K178" i="4"/>
  <c r="K28" i="4"/>
  <c r="K19" i="4"/>
  <c r="M251" i="4"/>
  <c r="F15" i="4"/>
  <c r="L349" i="4"/>
  <c r="L22" i="4"/>
  <c r="N352" i="4"/>
  <c r="P350" i="4"/>
  <c r="J350" i="4"/>
  <c r="E379" i="4"/>
  <c r="I380" i="4"/>
  <c r="K415" i="4"/>
  <c r="G427" i="4"/>
  <c r="G421" i="4"/>
  <c r="H455" i="4"/>
  <c r="E460" i="4"/>
  <c r="E74" i="4"/>
  <c r="G179" i="4"/>
  <c r="E179" i="4"/>
  <c r="M306" i="4"/>
  <c r="M301" i="4"/>
  <c r="G29" i="4"/>
  <c r="E29" i="4"/>
  <c r="E31" i="4"/>
  <c r="J24" i="4"/>
  <c r="J15" i="4"/>
  <c r="E63" i="4"/>
  <c r="E197" i="4"/>
  <c r="N178" i="4"/>
  <c r="E259" i="4"/>
  <c r="E264" i="4"/>
  <c r="E286" i="4"/>
  <c r="E312" i="4"/>
  <c r="K345" i="4"/>
  <c r="L354" i="4"/>
  <c r="M347" i="4"/>
  <c r="E372" i="4"/>
  <c r="E390" i="4"/>
  <c r="E416" i="4"/>
  <c r="N421" i="4"/>
  <c r="P311" i="4"/>
  <c r="L68" i="4"/>
  <c r="M140" i="4"/>
  <c r="E140" i="4"/>
  <c r="E220" i="4"/>
  <c r="Q28" i="4"/>
  <c r="Q19" i="4" s="1"/>
  <c r="P347" i="4"/>
  <c r="P345" i="4"/>
  <c r="M348" i="4"/>
  <c r="I352" i="4"/>
  <c r="Q350" i="4"/>
  <c r="E400" i="4"/>
  <c r="K350" i="4"/>
  <c r="L34" i="4"/>
  <c r="F28" i="4"/>
  <c r="F23" i="4"/>
  <c r="I24" i="4"/>
  <c r="I15" i="4"/>
  <c r="G35" i="4"/>
  <c r="F38" i="4"/>
  <c r="E50" i="4"/>
  <c r="E53" i="4"/>
  <c r="I79" i="4"/>
  <c r="I32" i="4"/>
  <c r="E92" i="4"/>
  <c r="E97" i="4"/>
  <c r="M104" i="4"/>
  <c r="E104" i="4"/>
  <c r="E187" i="4"/>
  <c r="M245" i="4"/>
  <c r="E245" i="4"/>
  <c r="E254" i="4"/>
  <c r="L261" i="4"/>
  <c r="E261" i="4"/>
  <c r="O348" i="4"/>
  <c r="M355" i="4"/>
  <c r="M350" i="4"/>
  <c r="E403" i="4"/>
  <c r="M427" i="4"/>
  <c r="M421" i="4"/>
  <c r="L452" i="4"/>
  <c r="L455" i="4"/>
  <c r="P415" i="4"/>
  <c r="L421" i="4"/>
  <c r="M27" i="4"/>
  <c r="E42" i="4"/>
  <c r="E127" i="4"/>
  <c r="N177" i="4"/>
  <c r="M178" i="4"/>
  <c r="G28" i="4"/>
  <c r="G36" i="4"/>
  <c r="E36" i="4"/>
  <c r="G37" i="4"/>
  <c r="E37" i="4"/>
  <c r="M94" i="4"/>
  <c r="E122" i="4"/>
  <c r="M125" i="4"/>
  <c r="E145" i="4"/>
  <c r="E176" i="4"/>
  <c r="K177" i="4"/>
  <c r="K25" i="4"/>
  <c r="K16" i="4"/>
  <c r="H175" i="4"/>
  <c r="N202" i="4"/>
  <c r="E208" i="4"/>
  <c r="K225" i="4"/>
  <c r="E225" i="4"/>
  <c r="E240" i="4"/>
  <c r="E351" i="4"/>
  <c r="O378" i="4"/>
  <c r="M398" i="4"/>
  <c r="M418" i="4"/>
  <c r="M415" i="4"/>
  <c r="E431" i="4"/>
  <c r="E33" i="4"/>
  <c r="E58" i="4"/>
  <c r="N21" i="4"/>
  <c r="I359" i="4"/>
  <c r="J354" i="4"/>
  <c r="J349" i="4"/>
  <c r="J22" i="4"/>
  <c r="I350" i="4"/>
  <c r="E360" i="4"/>
  <c r="E71" i="4"/>
  <c r="E253" i="4"/>
  <c r="L177" i="4"/>
  <c r="O251" i="4"/>
  <c r="E251" i="4" s="1"/>
  <c r="O178" i="4"/>
  <c r="O175" i="4" s="1"/>
  <c r="G301" i="4"/>
  <c r="G25" i="4"/>
  <c r="G34" i="4"/>
  <c r="E60" i="4"/>
  <c r="M79" i="4"/>
  <c r="L94" i="4"/>
  <c r="E182" i="4"/>
  <c r="E205" i="4"/>
  <c r="G202" i="4"/>
  <c r="G175" i="4"/>
  <c r="G178" i="4"/>
  <c r="E214" i="4"/>
  <c r="E230" i="4"/>
  <c r="L266" i="4"/>
  <c r="E266" i="4"/>
  <c r="E296" i="4"/>
  <c r="E291" i="4"/>
  <c r="N354" i="4"/>
  <c r="N349" i="4"/>
  <c r="N22" i="4"/>
  <c r="M375" i="4"/>
  <c r="L424" i="4"/>
  <c r="L418" i="4"/>
  <c r="L415" i="4"/>
  <c r="E465" i="4"/>
  <c r="H462" i="4"/>
  <c r="N455" i="4"/>
  <c r="N462" i="4"/>
  <c r="N452" i="4"/>
  <c r="E82" i="4"/>
  <c r="E320" i="4"/>
  <c r="M313" i="4"/>
  <c r="E367" i="4"/>
  <c r="G365" i="4"/>
  <c r="E365" i="4"/>
  <c r="H28" i="4"/>
  <c r="H34" i="4"/>
  <c r="H25" i="4"/>
  <c r="H35" i="4"/>
  <c r="G38" i="4"/>
  <c r="G48" i="4"/>
  <c r="E48" i="4"/>
  <c r="E109" i="4"/>
  <c r="E120" i="4"/>
  <c r="E128" i="4"/>
  <c r="L125" i="4"/>
  <c r="F345" i="4"/>
  <c r="E353" i="4"/>
  <c r="E357" i="4"/>
  <c r="G355" i="4"/>
  <c r="G352" i="4"/>
  <c r="G347" i="4"/>
  <c r="O355" i="4"/>
  <c r="O352" i="4"/>
  <c r="O347" i="4"/>
  <c r="E347" i="4" s="1"/>
  <c r="L352" i="4"/>
  <c r="L347" i="4"/>
  <c r="L370" i="4"/>
  <c r="H348" i="4"/>
  <c r="E383" i="4"/>
  <c r="H378" i="4"/>
  <c r="N348" i="4"/>
  <c r="I385" i="4"/>
  <c r="E385" i="4"/>
  <c r="I378" i="4"/>
  <c r="E388" i="4"/>
  <c r="E405" i="4"/>
  <c r="E417" i="4"/>
  <c r="F16" i="4"/>
  <c r="F22" i="4"/>
  <c r="I34" i="4"/>
  <c r="I25" i="4"/>
  <c r="H89" i="4"/>
  <c r="E89" i="4"/>
  <c r="I192" i="4"/>
  <c r="I175" i="4"/>
  <c r="I178" i="4"/>
  <c r="E195" i="4"/>
  <c r="L251" i="4"/>
  <c r="E322" i="4"/>
  <c r="N318" i="4"/>
  <c r="N311" i="4"/>
  <c r="E346" i="4"/>
  <c r="K354" i="4"/>
  <c r="K349" i="4"/>
  <c r="K22" i="4"/>
  <c r="I347" i="4"/>
  <c r="E362" i="4"/>
  <c r="H380" i="4"/>
  <c r="H377" i="4"/>
  <c r="E382" i="4"/>
  <c r="H347" i="4"/>
  <c r="L380" i="4"/>
  <c r="L375" i="4"/>
  <c r="L377" i="4"/>
  <c r="E425" i="4"/>
  <c r="E430" i="4"/>
  <c r="H427" i="4"/>
  <c r="H424" i="4"/>
  <c r="N424" i="4"/>
  <c r="N418" i="4"/>
  <c r="N415" i="4"/>
  <c r="E467" i="4"/>
  <c r="E233" i="4"/>
  <c r="L256" i="4"/>
  <c r="E256" i="4"/>
  <c r="J455" i="4"/>
  <c r="L32" i="4"/>
  <c r="I345" i="4"/>
  <c r="G418" i="4"/>
  <c r="G415" i="4"/>
  <c r="L28" i="4"/>
  <c r="L19" i="4"/>
  <c r="I19" i="4"/>
  <c r="I375" i="4"/>
  <c r="L345" i="4"/>
  <c r="E30" i="4"/>
  <c r="AT14" i="4"/>
  <c r="G350" i="4"/>
  <c r="M25" i="4"/>
  <c r="M16" i="4"/>
  <c r="E398" i="4"/>
  <c r="K175" i="4"/>
  <c r="N28" i="4"/>
  <c r="N19" i="4"/>
  <c r="J19" i="4"/>
  <c r="AS14" i="4"/>
  <c r="J23" i="4"/>
  <c r="L25" i="4"/>
  <c r="E24" i="4"/>
  <c r="E311" i="4"/>
  <c r="E318" i="4"/>
  <c r="N175" i="4"/>
  <c r="L350" i="4"/>
  <c r="M35" i="4"/>
  <c r="M32" i="4"/>
  <c r="F19" i="4"/>
  <c r="F14" i="4"/>
  <c r="G20" i="4"/>
  <c r="E20" i="4"/>
  <c r="M345" i="4"/>
  <c r="K14" i="4"/>
  <c r="N345" i="4"/>
  <c r="E202" i="4"/>
  <c r="E94" i="4"/>
  <c r="AB16" i="4"/>
  <c r="M175" i="4"/>
  <c r="E377" i="4"/>
  <c r="E125" i="4"/>
  <c r="E462" i="4"/>
  <c r="E79" i="4"/>
  <c r="N25" i="4"/>
  <c r="N16" i="4"/>
  <c r="K23" i="4"/>
  <c r="E355" i="4"/>
  <c r="E455" i="4"/>
  <c r="G19" i="4"/>
  <c r="E27" i="4"/>
  <c r="M18" i="4"/>
  <c r="E18" i="4"/>
  <c r="E315" i="4"/>
  <c r="E313" i="4"/>
  <c r="G32" i="4"/>
  <c r="E38" i="4"/>
  <c r="H359" i="4"/>
  <c r="I349" i="4"/>
  <c r="I22" i="4"/>
  <c r="I354" i="4"/>
  <c r="H375" i="4"/>
  <c r="E380" i="4"/>
  <c r="L175" i="4"/>
  <c r="E352" i="4"/>
  <c r="E192" i="4"/>
  <c r="E34" i="4"/>
  <c r="E21" i="4"/>
  <c r="H421" i="4"/>
  <c r="H418" i="4"/>
  <c r="H345" i="4"/>
  <c r="E378" i="4"/>
  <c r="H23" i="4"/>
  <c r="H16" i="4"/>
  <c r="G16" i="4"/>
  <c r="I23" i="4"/>
  <c r="I16" i="4"/>
  <c r="G345" i="4"/>
  <c r="H452" i="4"/>
  <c r="L16" i="4"/>
  <c r="H32" i="4"/>
  <c r="G23" i="4"/>
  <c r="L23" i="4"/>
  <c r="AH16" i="4"/>
  <c r="J14" i="4"/>
  <c r="X15" i="4"/>
  <c r="AH23" i="4"/>
  <c r="N23" i="4"/>
  <c r="M28" i="4"/>
  <c r="M19" i="4"/>
  <c r="M14" i="4"/>
  <c r="V10" i="4"/>
  <c r="H415" i="4"/>
  <c r="AD16" i="4"/>
  <c r="AD22" i="4"/>
  <c r="L14" i="4"/>
  <c r="H19" i="4"/>
  <c r="Z16" i="4"/>
  <c r="Z23" i="4"/>
  <c r="I14" i="4"/>
  <c r="AW15" i="4"/>
  <c r="H354" i="4"/>
  <c r="H349" i="4"/>
  <c r="H22" i="4"/>
  <c r="G359" i="4"/>
  <c r="F472" i="4"/>
  <c r="AF16" i="4"/>
  <c r="AF23" i="4"/>
  <c r="M23" i="4"/>
  <c r="N14" i="4"/>
  <c r="U14" i="4"/>
  <c r="G354" i="4"/>
  <c r="E354" i="4"/>
  <c r="G349" i="4"/>
  <c r="F359" i="4"/>
  <c r="E359" i="4"/>
  <c r="AV15" i="4"/>
  <c r="H14" i="4"/>
  <c r="E349" i="4"/>
  <c r="E22" i="4"/>
  <c r="G22" i="4"/>
  <c r="G14" i="4"/>
  <c r="O345" i="4" l="1"/>
  <c r="O350" i="4"/>
  <c r="E350" i="4" s="1"/>
  <c r="O25" i="4"/>
  <c r="O16" i="4" s="1"/>
  <c r="S16" i="4" s="1"/>
  <c r="E457" i="4"/>
  <c r="O415" i="4"/>
  <c r="E415" i="4" s="1"/>
  <c r="E348" i="4"/>
  <c r="E345" i="4" s="1"/>
  <c r="Q23" i="4"/>
  <c r="E175" i="4"/>
  <c r="T16" i="4"/>
  <c r="U16" i="4" s="1"/>
  <c r="E15" i="4"/>
  <c r="P16" i="4"/>
  <c r="E25" i="4"/>
  <c r="P32" i="4"/>
  <c r="O421" i="4"/>
  <c r="E421" i="4" s="1"/>
  <c r="E178" i="4"/>
  <c r="AN16" i="4"/>
  <c r="AN23" i="4" s="1"/>
  <c r="Q14" i="4"/>
  <c r="E35" i="4"/>
  <c r="P28" i="4"/>
  <c r="O28" i="4"/>
  <c r="O32" i="4"/>
  <c r="E32" i="4" s="1"/>
  <c r="E16" i="4" l="1"/>
  <c r="P19" i="4"/>
  <c r="P23" i="4"/>
  <c r="O19" i="4"/>
  <c r="O23" i="4"/>
  <c r="E23" i="4" s="1"/>
  <c r="E28" i="4"/>
  <c r="S19" i="4" l="1"/>
  <c r="S14" i="4" s="1"/>
  <c r="AJ23" i="4"/>
  <c r="AL16" i="4"/>
  <c r="AL23" i="4" s="1"/>
  <c r="P14" i="4"/>
  <c r="E19" i="4"/>
  <c r="O14" i="4"/>
  <c r="R9" i="4" s="1"/>
  <c r="T9" i="4" s="1"/>
  <c r="E14" i="4" l="1"/>
  <c r="Z39" i="4" l="1"/>
</calcChain>
</file>

<file path=xl/comments1.xml><?xml version="1.0" encoding="utf-8"?>
<comments xmlns="http://schemas.openxmlformats.org/spreadsheetml/2006/main">
  <authors>
    <author>Kovaleva</author>
  </authors>
  <commentList>
    <comment ref="O10" authorId="0" shape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  <comment ref="AJ23" authorId="0" shape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нет в решении Думы спр. 19,29,30 тольков конце года ( остатки)</t>
        </r>
      </text>
    </comment>
    <comment ref="O479" authorId="0" shape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</commentList>
</comments>
</file>

<file path=xl/sharedStrings.xml><?xml version="1.0" encoding="utf-8"?>
<sst xmlns="http://schemas.openxmlformats.org/spreadsheetml/2006/main" count="777" uniqueCount="243">
  <si>
    <t>Ресурсное обеспечение и прогнозная ( справочная) оценка расходов на реализацию  муниципальной программы  за счет  всех  источников финансирования</t>
  </si>
  <si>
    <t>Статус</t>
  </si>
  <si>
    <t>Ответственный исполнитель,соисполнитель подпрограммы, участник муниципальной программы</t>
  </si>
  <si>
    <t>Источники финансирования</t>
  </si>
  <si>
    <t>Всего</t>
  </si>
  <si>
    <t>2014 год</t>
  </si>
  <si>
    <t xml:space="preserve">2017 </t>
  </si>
  <si>
    <t xml:space="preserve">2018 </t>
  </si>
  <si>
    <t xml:space="preserve">2019 </t>
  </si>
  <si>
    <t>5</t>
  </si>
  <si>
    <t>6</t>
  </si>
  <si>
    <t>7</t>
  </si>
  <si>
    <t>8</t>
  </si>
  <si>
    <t>9</t>
  </si>
  <si>
    <t>10</t>
  </si>
  <si>
    <t>Муниципальная программа</t>
  </si>
  <si>
    <t>Управление образования администрации города Благовещенска, образовательные организации</t>
  </si>
  <si>
    <t>федеральный бюджет</t>
  </si>
  <si>
    <t>областной бюджет</t>
  </si>
  <si>
    <t>городской бюджет</t>
  </si>
  <si>
    <t>в том числе: кредиторская задолженность на начало финансового года</t>
  </si>
  <si>
    <t>внебюджетные источники</t>
  </si>
  <si>
    <t>Подпрограмма 1</t>
  </si>
  <si>
    <t>Развитие дошкольного, общего и дополнительного  образования детей</t>
  </si>
  <si>
    <t>Основное мероприятие  1.1</t>
  </si>
  <si>
    <t>Обеспечение  реализации программ дошкольного, начального, основного, среднего  и дополнительного  образования</t>
  </si>
  <si>
    <t xml:space="preserve"> 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</si>
  <si>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</si>
  <si>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Управление образования администрации города Благовещенска,  дошкольные образовательные организации</t>
  </si>
  <si>
    <t>всего</t>
  </si>
  <si>
    <t>1.2.</t>
  </si>
  <si>
    <t>Обеспечение государственных гарантий реализации прав на получение общедоступного и бесплатного дошкольного образования в  частных дошкольных образовательных организациях</t>
  </si>
  <si>
    <t>Управление образования администрации города Благовещенска,  частные  дошкольные образовательные организации</t>
  </si>
  <si>
    <t>Мероприятие 1.1.2</t>
  </si>
  <si>
    <t>1.1.3</t>
  </si>
  <si>
    <t>Модернизация  системы дошкольного образования</t>
  </si>
  <si>
    <t>Мероприятие 1.1.3</t>
  </si>
  <si>
    <t>Управление образования администрации города Благовещенска,  общеобразовательные  организации</t>
  </si>
  <si>
    <t>1.6.</t>
  </si>
  <si>
    <t>Поддержка функционирования негосударственных общеобразовательных организаций</t>
  </si>
  <si>
    <t>Управление образования администрации города Благовещенска,  частные общеобразовательные  организации</t>
  </si>
  <si>
    <t>Мероприятие 1.1.4</t>
  </si>
  <si>
    <t>Расходы на обеспечение деятельности (оказания услуг, выполнение работ) муниципальных организаций (учреждений)</t>
  </si>
  <si>
    <t>1.8.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</si>
  <si>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 прогимназия)</t>
  </si>
  <si>
    <t>Федеральный бюджет</t>
  </si>
  <si>
    <t>Областной бюджет</t>
  </si>
  <si>
    <t>Городской бюджет</t>
  </si>
  <si>
    <t>Внебюджетные источники</t>
  </si>
  <si>
    <t>Мероприятие 1.1.5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</si>
  <si>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</si>
  <si>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Мероприятие 1.1.6</t>
  </si>
  <si>
    <t xml:space="preserve">Премия одаренным  детям, обучающимся в  образовательных организациях   города Благовещенска </t>
  </si>
  <si>
    <t>Мероприятие 1.1.7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</si>
  <si>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</si>
  <si>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Мероприятие 1.1.8</t>
  </si>
  <si>
    <t>Основное мероприятие 1.2</t>
  </si>
  <si>
    <t>Мероприятие 1.2.1</t>
  </si>
  <si>
    <t>Мероприятие 1.2.2</t>
  </si>
  <si>
    <t>Модернизация  системы  общего образования</t>
  </si>
  <si>
    <t>Обновление и укрепление материально - технической базы муниципальных организаций (учреждений)</t>
  </si>
  <si>
    <t>1.2.4</t>
  </si>
  <si>
    <t xml:space="preserve">Развитие инфраструктуры образовательных организаций </t>
  </si>
  <si>
    <t>Капитальные вложения в объекты  муниципальной  собственности</t>
  </si>
  <si>
    <t>из них:</t>
  </si>
  <si>
    <t>капитальные вложения в объекты  муниципальной  собственности за счет благотворительных пожертвований</t>
  </si>
  <si>
    <t>в том числе: кредиторская задолженность</t>
  </si>
  <si>
    <t>Мероприятие 1.2.3</t>
  </si>
  <si>
    <t>Детский сад на 170 мест в кварталах 424,449 г. Благовещенска</t>
  </si>
  <si>
    <t>Мероприятие 1.2.4</t>
  </si>
  <si>
    <t>Адаптация объектов образования с учетом нужд и потребностей инвалидов и  других маломобильных групп населения</t>
  </si>
  <si>
    <t>Мероприятие 1.2.5</t>
  </si>
  <si>
    <t>Мероприятие 1.2.6</t>
  </si>
  <si>
    <t>Мероприятие 1.2.7</t>
  </si>
  <si>
    <t>Создание новых мест в общеобразовательных организациях</t>
  </si>
  <si>
    <t>Управление образования администрации города Благовещенска, МБУ " Информационно -  аналитический методический центр"</t>
  </si>
  <si>
    <t>Подпрограмма 2</t>
  </si>
  <si>
    <t>Развитие системы защиты прав детей</t>
  </si>
  <si>
    <t>Реализация прав и гарантий на государственную поддержку отдельных категорий граждан</t>
  </si>
  <si>
    <t>Мероприятие 2.1.1</t>
  </si>
  <si>
    <t>Управление образования администрации города Благовещенска</t>
  </si>
  <si>
    <t>Мероприятие 2.1.2</t>
  </si>
  <si>
    <t>Мероприятие 2.1.3</t>
  </si>
  <si>
    <t>Мероприятие 2.1.4</t>
  </si>
  <si>
    <t>Основное мероприятие 2.2</t>
  </si>
  <si>
    <t>Организация   и обеспечение проведения оздоровительной кампании детей</t>
  </si>
  <si>
    <t>Мероприятие 2.2.1</t>
  </si>
  <si>
    <t xml:space="preserve">Частичная оплата стоимости путевок для детей работающих граждан в организации отдыха и оздоровления детей в каникулярное время </t>
  </si>
  <si>
    <t>Мероприятие 2.2.2</t>
  </si>
  <si>
    <t xml:space="preserve"> Проведение мероприятий по организации отдыха детей в каникулярное время</t>
  </si>
  <si>
    <t>Управление образования администрации города Благовещенска, образовательные организации, МАУ " Центр оздоровления и отдыха детей"</t>
  </si>
  <si>
    <t>2.7.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</si>
  <si>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</si>
  <si>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</si>
  <si>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</si>
  <si>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</si>
  <si>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Управление образования администрации города Благовещенска, образовательные организации, МБУ " Информационно - аналитический методический центр"</t>
  </si>
  <si>
    <t>2.8.</t>
  </si>
  <si>
    <t>Развитие инфраструктуры отдыха, оздоровления и занятости детей и подростков в каникулярное время</t>
  </si>
  <si>
    <t>2.9.</t>
  </si>
  <si>
    <t>Управление образования администрации города Благовещенска, МАУ " Центр развития и оздоровления детей"</t>
  </si>
  <si>
    <t xml:space="preserve"> Подпрограмма 3</t>
  </si>
  <si>
    <t>Управление образования администрации города Благовещенска, МБУ " Информационно -  аналитический методический центр", МАУ " Центр развития и оздоровления детей", МУ " Централизованная бухгалтерия учреждений образования"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</si>
  <si>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</si>
  <si>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</si>
  <si>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</si>
  <si>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</si>
  <si>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3.2</t>
  </si>
  <si>
    <t xml:space="preserve"> Финансирование расходов общепрограммного  характера</t>
  </si>
  <si>
    <t>Мероприятие 3.1.2</t>
  </si>
  <si>
    <t>Расходы на обеспечение деятельности    (оказания услуг, выполнение работ) муниципальных организаций   (учреждений)</t>
  </si>
  <si>
    <t>3.3.</t>
  </si>
  <si>
    <t>Обеспечение бухгалтерского обслуживания в организациях  отрасли "Образование"</t>
  </si>
  <si>
    <t>Управление образования администрации города Благовещенска, МУ " Централизованная бухгалтерия учреждений образования"</t>
  </si>
  <si>
    <t>3.3</t>
  </si>
  <si>
    <t xml:space="preserve">Содействие развитию муниципальной системы образования </t>
  </si>
  <si>
    <t>3.3.1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</si>
  <si>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</si>
  <si>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</si>
  <si>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</si>
  <si>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Мероприятие 3.2.2</t>
  </si>
  <si>
    <t xml:space="preserve">Единовременные социальные пособия работникам муниципальных образовательных учреждений 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</si>
  <si>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</si>
  <si>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</si>
  <si>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11</t>
  </si>
  <si>
    <t>Мероприятие 1.2.9</t>
  </si>
  <si>
    <t xml:space="preserve">Наименование муниципальной программы, подпрограммы, основного мероприятия, мероприятия </t>
  </si>
  <si>
    <t>Основное мероприятие 2.1</t>
  </si>
  <si>
    <t>Основное мероприятие  1.3</t>
  </si>
  <si>
    <t>Мероприятие 1.3.1</t>
  </si>
  <si>
    <t>Внедрение целевой модели  цифровой образовательной среды в  общеобразовательных организациях и профессиональных образовательных организациях</t>
  </si>
  <si>
    <t>Федеральный  проект "Цифровая образовательная среда"</t>
  </si>
  <si>
    <t>Мероприятие 1.2.10</t>
  </si>
  <si>
    <t>Модернизация систем общего образования</t>
  </si>
  <si>
    <t>2022</t>
  </si>
  <si>
    <t>2023</t>
  </si>
  <si>
    <t>2024</t>
  </si>
  <si>
    <t>2025</t>
  </si>
  <si>
    <t>12</t>
  </si>
  <si>
    <t>13</t>
  </si>
  <si>
    <t>14</t>
  </si>
  <si>
    <t>15</t>
  </si>
  <si>
    <t>Основное мероприятие 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</si>
  <si>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</si>
  <si>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</si>
  <si>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 инициатив в сфере образования города Благовещенска</t>
  </si>
  <si>
    <t>Мероприятие 1.1.9</t>
  </si>
  <si>
    <t>Обеспечение обучающихся по  общеобразовательным программам начального общего образования в муниципальных общеобразовательных организациях питанием</t>
  </si>
  <si>
    <t>Мероприятие 1.2.11</t>
  </si>
  <si>
    <t>Мероприятие 1.2.12</t>
  </si>
  <si>
    <t>Модернизация систем дошкольного образования</t>
  </si>
  <si>
    <t xml:space="preserve"> Развитие  образования города Благовещенска</t>
  </si>
  <si>
    <t xml:space="preserve"> Обеспечение реализации муниципальной программы " Развитие образования города Благовещенска" и прочие мероприятия в области образования</t>
  </si>
  <si>
    <t>Основное мероприятие  1.5</t>
  </si>
  <si>
    <t>Мероприятие 1.5.1</t>
  </si>
  <si>
    <t xml:space="preserve"> к муниципальной программе</t>
  </si>
  <si>
    <t>Развитие инфраструктуры  дошкольного, общего  и дополнительного образования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</si>
  <si>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</si>
  <si>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</si>
  <si>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Мероприятие 1.2.13</t>
  </si>
  <si>
    <t>Модернизация систем дополнительного образования</t>
  </si>
  <si>
    <t>Освещение значимых общественных и социальных объектов города Благовещенска за счет пожертвований</t>
  </si>
  <si>
    <t>Приложение № 3</t>
  </si>
  <si>
    <t>Мероприятие 1.1.11</t>
  </si>
  <si>
    <t>Обеспечение функционирования  системы  персонифицированного финансирования дополнительного образования детей</t>
  </si>
  <si>
    <t>Оценка расходов (тыс. руб.), годы</t>
  </si>
  <si>
    <t xml:space="preserve"> администрации города Благовещенска</t>
  </si>
  <si>
    <t>Мероприятие 1.1.12</t>
  </si>
  <si>
    <t>Мероприятие 1.1.13</t>
  </si>
  <si>
    <t>Развитие кадрового потенциала муниципальных организаций  (учреждений)</t>
  </si>
  <si>
    <t>Мероприятие 1.1.14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</si>
  <si>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</si>
  <si>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Школа на 1500 мест в квартале 406 г. Благовещенск, Амурская область   (в т.ч. проектные работы)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</si>
  <si>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</si>
  <si>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</si>
  <si>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</si>
  <si>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</si>
  <si>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</si>
  <si>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,верности Отечеству, готовности приносить пользу обществу и государству, путем вовлечения детей во всероссийское военно – патриотическое общественное движение «Юнармия»</t>
  </si>
  <si>
    <t>Региональный проект "Современная школа"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</si>
  <si>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</si>
  <si>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 xml:space="preserve">2020  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</si>
  <si>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</si>
  <si>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Мероприятие 1.1.16</t>
  </si>
  <si>
    <t>в том числе: неиспользованный остаток прошлых лет</t>
  </si>
  <si>
    <t>Организация бесплатного питания обучающихся в муниципальных образовательных организациях</t>
  </si>
  <si>
    <t>Мероприятие 1.1.17</t>
  </si>
  <si>
    <t xml:space="preserve">2021 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</si>
  <si>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</si>
  <si>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</si>
  <si>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Мероприятие 3.2.3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</si>
  <si>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</si>
  <si>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</si>
  <si>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</si>
  <si>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 xml:space="preserve">                                                            </t>
  </si>
  <si>
    <t xml:space="preserve">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</si>
  <si>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Мероприятие 1.5.2</t>
  </si>
  <si>
    <t xml:space="preserve"> в том числе: неиспользованный остаток прошлых  лет</t>
  </si>
  <si>
    <t>Мероприятие 1.2.16</t>
  </si>
  <si>
    <t xml:space="preserve"> Благоустройство территорий дошкольных образовательных  организаций</t>
  </si>
  <si>
    <t xml:space="preserve">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</si>
  <si>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Мероприятие 1.1.18</t>
  </si>
  <si>
    <t>Финансовое обеспечение государственного полномочия по выплате компенсации затрат родителей ( законных представителей) детей - инвалидов на организацию обучения по основным общеобразовательным программам на дому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</si>
  <si>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</si>
  <si>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  Создание новых мест в общеобразовательных организациях (проведение государственной экспертизы)</t>
  </si>
  <si>
    <t>Мероприятие 1.1.19</t>
  </si>
  <si>
    <t>Финансовое обеспечение государственного полномочия Амурской области по организации бесплатного питания обучающихся в общеобразовательных организациях детей военнослужащих и сотрудников некоторых федеральных государственных органов</t>
  </si>
  <si>
    <t>Мероприятие 1.1.20</t>
  </si>
  <si>
    <t xml:space="preserve">Предоставление бесплатного питания детям (в том числе приемным, усыновленным, опекаемым),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 Украины, обучающихся  в муниципальных общеобразовательных организациях города Благовещенска </t>
  </si>
  <si>
    <t>Мероприятие 1.1.21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</si>
  <si>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</si>
  <si>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r>
      <t xml:space="preserve">2015 </t>
    </r>
    <r>
      <rPr>
        <sz val="12"/>
        <rFont val="Calibri"/>
        <family val="2"/>
        <charset val="204"/>
      </rPr>
      <t>˂*˃</t>
    </r>
  </si>
  <si>
    <r>
      <t xml:space="preserve">2016 </t>
    </r>
    <r>
      <rPr>
        <sz val="12"/>
        <rFont val="Calibri"/>
        <family val="2"/>
        <charset val="204"/>
      </rPr>
      <t>&lt;**&gt;</t>
    </r>
  </si>
  <si>
    <r>
      <t xml:space="preserve">Создание в образовательных организациях условий для  получения детьми - инвалидами качественного образования  </t>
    </r>
    <r>
      <rPr>
        <sz val="12"/>
        <rFont val="Calibri"/>
        <family val="2"/>
        <charset val="204"/>
      </rPr>
      <t>&lt;***&gt;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</si>
  <si>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2015 году применяются в редакции постановления  администрации города Благовещенска от 22.09.2015 № 3569*"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</si>
  <si>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* 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</si>
  <si>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 xml:space="preserve"> </t>
    </r>
    <r>
      <rPr>
        <sz val="11"/>
        <rFont val="Calibri"/>
        <family val="2"/>
        <charset val="204"/>
      </rPr>
      <t xml:space="preserve">***˃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2020 году применяются в редакции постановления  администрации города Благовещенска от 08.10.2020  № 3415"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 4131"</t>
    </r>
  </si>
  <si>
    <t>отклонение</t>
  </si>
  <si>
    <t>Мероприятие 1.1.22</t>
  </si>
  <si>
    <t>Мероприятие 1.1.23</t>
  </si>
  <si>
    <t>Основное мероприятие 1.6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</si>
  <si>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</si>
  <si>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</si>
  <si>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Дошкольное образовательное учреждение на 350 мест в Северном планировочном районе г. Благовещенск, Амурская область  (в т.ч. проектные работы)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</si>
  <si>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</si>
  <si>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Мероприятие 1.6.1</t>
  </si>
  <si>
    <t>Региональный проект "Патриотическое воспитание граждан Российской Федерации"</t>
  </si>
  <si>
    <t xml:space="preserve"> от                 №    </t>
  </si>
  <si>
    <r>
      <t>Мероприятие 1.5.3</t>
    </r>
    <r>
      <rPr>
        <sz val="12"/>
        <rFont val="Calibri"/>
        <family val="2"/>
        <charset val="204"/>
      </rPr>
      <t>****</t>
    </r>
  </si>
  <si>
    <t>2026</t>
  </si>
  <si>
    <t>2027</t>
  </si>
  <si>
    <t>2028</t>
  </si>
  <si>
    <t>2029</t>
  </si>
  <si>
    <t>16</t>
  </si>
  <si>
    <t>17</t>
  </si>
  <si>
    <t>18</t>
  </si>
  <si>
    <t>19</t>
  </si>
  <si>
    <t>&lt;****˃ Объем финансирования, планируемый на реализацию проекта в соответствии с согласованным проектом концессионного соглашения  о создании и эксплуатации объекта образования «Обш;еобразовательная школа на 1200 мест в Северном планировочном районе г. Благовещенск, Амурская область» со сроком реализации 2023-2029 годы (Постановлением администрации города Благовещенска от 30.12.2022 № 6950), в том числе за пределами планового периода:</t>
  </si>
  <si>
    <t>должно быть как в лицевом ( год)</t>
  </si>
  <si>
    <t xml:space="preserve">Выплата компенсации части платы, взимаемой с родителей  (законных представителей) за присмотр и уход за детьми, осваивающими образовательные программы дошкольного образования 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</si>
  <si>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</si>
  <si>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 государственных и  муниципальных общеобразовательных организаций</t>
  </si>
  <si>
    <t>Приложение № 2  к постановлению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</si>
</sst>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6" fillId="0" borderId="0"/>
    <xf numFmtId="0" fontId="15" fillId="0" borderId="0"/>
  </cellStyleXfs>
  <cellXfs count="373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0" fontId="8" fillId="2" borderId="0" xfId="0" applyFont="1" applyFill="1" applyAlignment="1"/>
    <xf numFmtId="0" fontId="1" fillId="2" borderId="0" xfId="0" applyFont="1" applyFill="1" applyBorder="1"/>
    <xf numFmtId="164" fontId="13" fillId="2" borderId="0" xfId="0" applyNumberFormat="1" applyFont="1" applyFill="1"/>
    <xf numFmtId="164" fontId="14" fillId="2" borderId="0" xfId="0" applyNumberFormat="1" applyFont="1" applyFill="1"/>
    <xf numFmtId="164" fontId="2" fillId="2" borderId="0" xfId="0" applyNumberFormat="1" applyFont="1" applyFill="1"/>
    <xf numFmtId="164" fontId="1" fillId="2" borderId="0" xfId="0" applyNumberFormat="1" applyFont="1" applyFill="1" applyAlignment="1">
      <alignment horizontal="left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/>
    </xf>
    <xf numFmtId="49" fontId="12" fillId="2" borderId="0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left" wrapText="1"/>
    </xf>
    <xf numFmtId="164" fontId="5" fillId="2" borderId="3" xfId="0" applyNumberFormat="1" applyFont="1" applyFill="1" applyBorder="1" applyAlignment="1">
      <alignment wrapText="1"/>
    </xf>
    <xf numFmtId="164" fontId="5" fillId="2" borderId="3" xfId="0" applyNumberFormat="1" applyFont="1" applyFill="1" applyBorder="1"/>
    <xf numFmtId="1" fontId="4" fillId="2" borderId="3" xfId="0" applyNumberFormat="1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wrapText="1"/>
    </xf>
    <xf numFmtId="164" fontId="4" fillId="2" borderId="3" xfId="0" applyNumberFormat="1" applyFont="1" applyFill="1" applyBorder="1"/>
    <xf numFmtId="164" fontId="4" fillId="2" borderId="3" xfId="0" applyNumberFormat="1" applyFont="1" applyFill="1" applyBorder="1" applyAlignment="1">
      <alignment horizontal="right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wrapText="1"/>
    </xf>
    <xf numFmtId="164" fontId="4" fillId="2" borderId="4" xfId="0" applyNumberFormat="1" applyFont="1" applyFill="1" applyBorder="1" applyAlignment="1">
      <alignment wrapText="1"/>
    </xf>
    <xf numFmtId="164" fontId="4" fillId="2" borderId="4" xfId="0" applyNumberFormat="1" applyFont="1" applyFill="1" applyBorder="1"/>
    <xf numFmtId="1" fontId="4" fillId="2" borderId="3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left" wrapText="1"/>
    </xf>
    <xf numFmtId="1" fontId="4" fillId="2" borderId="0" xfId="0" applyNumberFormat="1" applyFont="1" applyFill="1" applyBorder="1" applyAlignment="1">
      <alignment horizontal="left" wrapText="1"/>
    </xf>
    <xf numFmtId="164" fontId="4" fillId="2" borderId="0" xfId="0" applyNumberFormat="1" applyFont="1" applyFill="1" applyBorder="1" applyAlignment="1">
      <alignment wrapText="1"/>
    </xf>
    <xf numFmtId="164" fontId="4" fillId="2" borderId="0" xfId="0" applyNumberFormat="1" applyFont="1" applyFill="1" applyBorder="1"/>
    <xf numFmtId="0" fontId="4" fillId="2" borderId="3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1" fontId="5" fillId="2" borderId="4" xfId="0" applyNumberFormat="1" applyFont="1" applyFill="1" applyBorder="1" applyAlignment="1">
      <alignment horizontal="left" wrapText="1"/>
    </xf>
    <xf numFmtId="164" fontId="5" fillId="2" borderId="4" xfId="0" applyNumberFormat="1" applyFont="1" applyFill="1" applyBorder="1" applyAlignment="1">
      <alignment wrapText="1"/>
    </xf>
    <xf numFmtId="164" fontId="5" fillId="2" borderId="4" xfId="0" applyNumberFormat="1" applyFont="1" applyFill="1" applyBorder="1"/>
    <xf numFmtId="0" fontId="5" fillId="2" borderId="8" xfId="0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horizontal="right"/>
    </xf>
    <xf numFmtId="1" fontId="4" fillId="2" borderId="3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0" fontId="4" fillId="2" borderId="6" xfId="0" applyFont="1" applyFill="1" applyBorder="1" applyAlignment="1"/>
    <xf numFmtId="49" fontId="4" fillId="2" borderId="12" xfId="0" applyNumberFormat="1" applyFont="1" applyFill="1" applyBorder="1" applyAlignment="1">
      <alignment horizontal="left" vertical="top" wrapText="1"/>
    </xf>
    <xf numFmtId="0" fontId="1" fillId="2" borderId="11" xfId="0" applyFont="1" applyFill="1" applyBorder="1"/>
    <xf numFmtId="49" fontId="5" fillId="2" borderId="1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/>
    <xf numFmtId="49" fontId="5" fillId="2" borderId="11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wrapText="1"/>
    </xf>
    <xf numFmtId="0" fontId="1" fillId="2" borderId="15" xfId="0" applyFont="1" applyFill="1" applyBorder="1"/>
    <xf numFmtId="49" fontId="4" fillId="2" borderId="11" xfId="0" applyNumberFormat="1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2" fillId="2" borderId="1" xfId="0" applyNumberFormat="1" applyFont="1" applyFill="1" applyBorder="1"/>
    <xf numFmtId="0" fontId="2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/>
    <xf numFmtId="0" fontId="2" fillId="2" borderId="0" xfId="0" applyFont="1" applyFill="1"/>
    <xf numFmtId="4" fontId="1" fillId="2" borderId="0" xfId="0" applyNumberFormat="1" applyFont="1" applyFill="1"/>
    <xf numFmtId="164" fontId="1" fillId="2" borderId="0" xfId="0" applyNumberFormat="1" applyFont="1" applyFill="1" applyBorder="1"/>
    <xf numFmtId="164" fontId="1" fillId="2" borderId="1" xfId="0" applyNumberFormat="1" applyFont="1" applyFill="1" applyBorder="1"/>
    <xf numFmtId="164" fontId="4" fillId="2" borderId="7" xfId="0" applyNumberFormat="1" applyFont="1" applyFill="1" applyBorder="1"/>
    <xf numFmtId="164" fontId="4" fillId="2" borderId="9" xfId="0" applyNumberFormat="1" applyFont="1" applyFill="1" applyBorder="1"/>
    <xf numFmtId="4" fontId="2" fillId="2" borderId="0" xfId="0" applyNumberFormat="1" applyFont="1" applyFill="1"/>
    <xf numFmtId="49" fontId="5" fillId="2" borderId="11" xfId="0" applyNumberFormat="1" applyFont="1" applyFill="1" applyBorder="1" applyAlignment="1">
      <alignment horizontal="left" vertical="top" wrapText="1"/>
    </xf>
    <xf numFmtId="164" fontId="5" fillId="2" borderId="0" xfId="0" applyNumberFormat="1" applyFont="1" applyFill="1" applyBorder="1"/>
    <xf numFmtId="164" fontId="5" fillId="2" borderId="0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wrapText="1"/>
    </xf>
    <xf numFmtId="164" fontId="5" fillId="4" borderId="0" xfId="0" applyNumberFormat="1" applyFont="1" applyFill="1" applyBorder="1"/>
    <xf numFmtId="164" fontId="4" fillId="4" borderId="0" xfId="0" applyNumberFormat="1" applyFont="1" applyFill="1" applyBorder="1"/>
    <xf numFmtId="164" fontId="4" fillId="4" borderId="0" xfId="0" applyNumberFormat="1" applyFont="1" applyFill="1" applyBorder="1" applyAlignment="1">
      <alignment horizontal="right" wrapText="1"/>
    </xf>
    <xf numFmtId="164" fontId="5" fillId="3" borderId="0" xfId="0" applyNumberFormat="1" applyFont="1" applyFill="1" applyBorder="1"/>
    <xf numFmtId="49" fontId="5" fillId="3" borderId="0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vertical="top" wrapText="1"/>
    </xf>
    <xf numFmtId="0" fontId="4" fillId="2" borderId="9" xfId="0" applyFont="1" applyFill="1" applyBorder="1" applyAlignment="1"/>
    <xf numFmtId="0" fontId="3" fillId="2" borderId="0" xfId="0" applyFont="1" applyFill="1" applyAlignment="1">
      <alignment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0" fontId="10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4" fillId="2" borderId="10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>
      <alignment wrapText="1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0" fontId="5" fillId="2" borderId="10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3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12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49" fontId="4" fillId="2" borderId="11" xfId="0" applyNumberFormat="1" applyFont="1" applyFill="1" applyBorder="1" applyAlignment="1">
      <alignment horizontal="left" vertical="top" wrapText="1"/>
    </xf>
    <xf numFmtId="164" fontId="19" fillId="2" borderId="3" xfId="0" applyNumberFormat="1" applyFont="1" applyFill="1" applyBorder="1"/>
    <xf numFmtId="49" fontId="4" fillId="2" borderId="4" xfId="0" applyNumberFormat="1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3" borderId="3" xfId="0" applyFont="1" applyFill="1" applyBorder="1" applyAlignment="1"/>
    <xf numFmtId="1" fontId="4" fillId="2" borderId="3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/>
    </xf>
    <xf numFmtId="164" fontId="19" fillId="2" borderId="3" xfId="0" applyNumberFormat="1" applyFont="1" applyFill="1" applyBorder="1" applyAlignment="1">
      <alignment wrapText="1"/>
    </xf>
    <xf numFmtId="164" fontId="21" fillId="2" borderId="3" xfId="0" applyNumberFormat="1" applyFont="1" applyFill="1" applyBorder="1"/>
    <xf numFmtId="0" fontId="21" fillId="2" borderId="3" xfId="0" applyFont="1" applyFill="1" applyBorder="1"/>
    <xf numFmtId="164" fontId="2" fillId="2" borderId="3" xfId="0" applyNumberFormat="1" applyFont="1" applyFill="1" applyBorder="1"/>
    <xf numFmtId="0" fontId="2" fillId="2" borderId="3" xfId="0" applyFont="1" applyFill="1" applyBorder="1"/>
    <xf numFmtId="1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/>
    <xf numFmtId="164" fontId="4" fillId="0" borderId="3" xfId="0" applyNumberFormat="1" applyFont="1" applyFill="1" applyBorder="1"/>
    <xf numFmtId="0" fontId="4" fillId="2" borderId="7" xfId="0" applyFont="1" applyFill="1" applyBorder="1" applyAlignment="1"/>
    <xf numFmtId="0" fontId="10" fillId="2" borderId="5" xfId="0" applyFont="1" applyFill="1" applyBorder="1" applyAlignment="1">
      <alignment vertical="top"/>
    </xf>
    <xf numFmtId="0" fontId="3" fillId="0" borderId="5" xfId="0" applyFont="1" applyBorder="1" applyAlignment="1">
      <alignment vertical="top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center" vertical="center"/>
    </xf>
    <xf numFmtId="0" fontId="21" fillId="2" borderId="0" xfId="0" applyFont="1" applyFill="1"/>
    <xf numFmtId="4" fontId="21" fillId="2" borderId="0" xfId="0" applyNumberFormat="1" applyFont="1" applyFill="1"/>
    <xf numFmtId="164" fontId="10" fillId="2" borderId="0" xfId="0" applyNumberFormat="1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vertical="top"/>
    </xf>
    <xf numFmtId="0" fontId="23" fillId="2" borderId="5" xfId="0" applyFont="1" applyFill="1" applyBorder="1" applyAlignment="1">
      <alignment vertical="top" wrapText="1"/>
    </xf>
    <xf numFmtId="49" fontId="20" fillId="2" borderId="11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4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20" fillId="2" borderId="10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49" fontId="20" fillId="2" borderId="10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49" fontId="4" fillId="2" borderId="2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49" fontId="4" fillId="2" borderId="10" xfId="0" applyNumberFormat="1" applyFont="1" applyFill="1" applyBorder="1" applyAlignment="1">
      <alignment horizontal="left" vertical="top"/>
    </xf>
    <xf numFmtId="0" fontId="10" fillId="2" borderId="11" xfId="0" applyFont="1" applyFill="1" applyBorder="1" applyAlignment="1">
      <alignment vertical="top"/>
    </xf>
    <xf numFmtId="0" fontId="10" fillId="2" borderId="12" xfId="0" applyFont="1" applyFill="1" applyBorder="1" applyAlignment="1">
      <alignment vertical="top"/>
    </xf>
    <xf numFmtId="0" fontId="20" fillId="2" borderId="11" xfId="0" applyFont="1" applyFill="1" applyBorder="1" applyAlignment="1">
      <alignment horizontal="left" vertical="top" wrapText="1"/>
    </xf>
    <xf numFmtId="0" fontId="20" fillId="2" borderId="12" xfId="0" applyFont="1" applyFill="1" applyBorder="1" applyAlignment="1">
      <alignment horizontal="left" vertical="top" wrapText="1"/>
    </xf>
    <xf numFmtId="0" fontId="23" fillId="2" borderId="4" xfId="0" applyFont="1" applyFill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165" fontId="20" fillId="2" borderId="2" xfId="0" applyNumberFormat="1" applyFont="1" applyFill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20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/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2" xfId="0" applyNumberFormat="1" applyFont="1" applyFill="1" applyBorder="1" applyAlignment="1">
      <alignment horizontal="center" vertical="top"/>
    </xf>
    <xf numFmtId="1" fontId="4" fillId="2" borderId="2" xfId="0" applyNumberFormat="1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1" fontId="4" fillId="2" borderId="6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1" fontId="20" fillId="2" borderId="2" xfId="0" applyNumberFormat="1" applyFont="1" applyFill="1" applyBorder="1" applyAlignment="1">
      <alignment horizontal="left" vertical="top" wrapText="1"/>
    </xf>
    <xf numFmtId="0" fontId="22" fillId="0" borderId="5" xfId="0" applyFont="1" applyBorder="1" applyAlignment="1">
      <alignment horizontal="left" vertical="top" wrapText="1"/>
    </xf>
    <xf numFmtId="0" fontId="20" fillId="2" borderId="2" xfId="0" applyFont="1" applyFill="1" applyBorder="1" applyAlignment="1">
      <alignment horizontal="left" vertical="top" wrapText="1"/>
    </xf>
    <xf numFmtId="0" fontId="22" fillId="2" borderId="5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49" fontId="5" fillId="2" borderId="10" xfId="0" applyNumberFormat="1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center" wrapText="1"/>
    </xf>
    <xf numFmtId="49" fontId="20" fillId="2" borderId="2" xfId="0" applyNumberFormat="1" applyFont="1" applyFill="1" applyBorder="1" applyAlignment="1">
      <alignment horizontal="left" vertical="top" wrapText="1"/>
    </xf>
    <xf numFmtId="49" fontId="20" fillId="2" borderId="5" xfId="0" applyNumberFormat="1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left" vertical="top" wrapText="1"/>
    </xf>
    <xf numFmtId="1" fontId="20" fillId="2" borderId="2" xfId="2" applyNumberFormat="1" applyFont="1" applyFill="1" applyBorder="1" applyAlignment="1">
      <alignment vertical="top" wrapText="1"/>
    </xf>
    <xf numFmtId="0" fontId="22" fillId="0" borderId="5" xfId="0" applyFont="1" applyBorder="1" applyAlignment="1">
      <alignment vertical="top" wrapText="1"/>
    </xf>
    <xf numFmtId="0" fontId="22" fillId="0" borderId="4" xfId="0" applyFont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 wrapText="1"/>
    </xf>
    <xf numFmtId="0" fontId="3" fillId="2" borderId="12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49" fontId="20" fillId="2" borderId="10" xfId="0" applyNumberFormat="1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4" fontId="4" fillId="2" borderId="5" xfId="0" applyNumberFormat="1" applyFont="1" applyFill="1" applyBorder="1" applyAlignment="1">
      <alignment vertical="top" wrapText="1"/>
    </xf>
    <xf numFmtId="4" fontId="4" fillId="2" borderId="6" xfId="0" applyNumberFormat="1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3" fillId="2" borderId="4" xfId="0" applyFont="1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horizontal="left" vertical="top" wrapText="1"/>
    </xf>
    <xf numFmtId="0" fontId="4" fillId="2" borderId="5" xfId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3" fillId="0" borderId="5" xfId="0" applyFont="1" applyBorder="1" applyAlignment="1">
      <alignment vertical="top"/>
    </xf>
    <xf numFmtId="0" fontId="23" fillId="2" borderId="11" xfId="0" applyFont="1" applyFill="1" applyBorder="1" applyAlignment="1">
      <alignment horizontal="left" vertical="top" wrapText="1"/>
    </xf>
    <xf numFmtId="0" fontId="20" fillId="2" borderId="5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49" fontId="5" fillId="2" borderId="5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1" fontId="5" fillId="2" borderId="6" xfId="0" applyNumberFormat="1" applyFont="1" applyFill="1" applyBorder="1" applyAlignment="1">
      <alignment horizontal="left" vertical="center" wrapText="1"/>
    </xf>
    <xf numFmtId="1" fontId="4" fillId="2" borderId="5" xfId="0" applyNumberFormat="1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1" fontId="4" fillId="2" borderId="2" xfId="2" applyNumberFormat="1" applyFont="1" applyFill="1" applyBorder="1" applyAlignment="1">
      <alignment vertical="top" wrapText="1"/>
    </xf>
    <xf numFmtId="49" fontId="4" fillId="2" borderId="3" xfId="0" applyNumberFormat="1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4" fillId="2" borderId="5" xfId="0" applyFont="1" applyFill="1" applyBorder="1" applyAlignment="1"/>
    <xf numFmtId="49" fontId="4" fillId="2" borderId="5" xfId="0" applyNumberFormat="1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49" fontId="20" fillId="2" borderId="2" xfId="0" applyNumberFormat="1" applyFont="1" applyFill="1" applyBorder="1" applyAlignment="1">
      <alignment horizontal="left" vertical="top"/>
    </xf>
    <xf numFmtId="0" fontId="23" fillId="2" borderId="5" xfId="0" applyFont="1" applyFill="1" applyBorder="1" applyAlignment="1">
      <alignment horizontal="left" vertical="top"/>
    </xf>
    <xf numFmtId="0" fontId="23" fillId="2" borderId="4" xfId="0" applyFont="1" applyFill="1" applyBorder="1" applyAlignment="1">
      <alignment horizontal="left" vertical="top"/>
    </xf>
    <xf numFmtId="0" fontId="0" fillId="0" borderId="4" xfId="0" applyBorder="1" applyAlignment="1">
      <alignment horizontal="left" vertical="top" wrapText="1"/>
    </xf>
    <xf numFmtId="0" fontId="0" fillId="0" borderId="14" xfId="0" applyBorder="1" applyAlignment="1"/>
    <xf numFmtId="0" fontId="0" fillId="0" borderId="9" xfId="0" applyBorder="1" applyAlignment="1"/>
    <xf numFmtId="49" fontId="4" fillId="2" borderId="3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wrapText="1"/>
    </xf>
    <xf numFmtId="164" fontId="19" fillId="2" borderId="4" xfId="0" applyNumberFormat="1" applyFont="1" applyFill="1" applyBorder="1"/>
  </cellXfs>
  <cellStyles count="4">
    <cellStyle name="Обычный" xfId="0" builtinId="0"/>
    <cellStyle name="Обычный 2" xfId="1"/>
    <cellStyle name="Обычный 3" xfId="2"/>
    <cellStyle name="Обычный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leva/Desktop/&#1056;&#1040;&#1041;&#1054;&#1058;&#1040;%20&#1057;%20&#1056;&#1040;&#1041;&#1054;&#1063;&#1045;&#1043;&#1054;%20&#1057;&#1058;&#1054;&#1051;&#1040;/&#1055;&#1056;&#1054;&#1043;&#1056;&#1040;&#1052;&#1052;&#1040;%20%202025%20&#1043;&#1054;&#1044;/2021/&#1052;&#1040;&#1056;&#1058;%20(%20&#1091;&#1090;&#1086;&#1095;&#1085;&#1077;&#1085;&#1080;&#1077;%20&#1080;%20&#1082;&#1096;&#1087;,%20&#1084;&#1086;&#1083;&#1086;&#1076;&#1077;&#1078;&#1100;)/&#1087;&#1086;&#1089;&#1090;&#1072;&#1085;&#1086;&#1074;&#1083;&#1077;&#1085;&#1080;&#1077;%20&#1086;&#1090;%2011.03.2021%20&#8470;%20784/&#1055;&#1088;&#1080;&#1083;&#1086;&#1078;&#1077;&#1085;&#1080;&#1077;%20%203%20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ансирование"/>
    </sheetNames>
    <sheetDataSet>
      <sheetData sheetId="0">
        <row r="265">
          <cell r="B265" t="str">
            <v>Создание новых мест в общеобразовательных организациях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XE494"/>
  <sheetViews>
    <sheetView tabSelected="1" topLeftCell="I1" zoomScale="94" zoomScaleNormal="94" zoomScaleSheetLayoutView="62" workbookViewId="0">
      <selection activeCell="D437" sqref="D437"/>
    </sheetView>
  </sheetViews>
  <sheetFormatPr defaultColWidth="7.6640625" defaultRowHeight="14.4" x14ac:dyDescent="0.25"/>
  <cols>
    <col min="1" max="1" width="24.88671875" style="1" customWidth="1"/>
    <col min="2" max="2" width="31.44140625" style="1" customWidth="1"/>
    <col min="3" max="3" width="0.109375" style="1" hidden="1" customWidth="1"/>
    <col min="4" max="4" width="24.109375" style="1" customWidth="1"/>
    <col min="5" max="5" width="16.44140625" style="1" customWidth="1"/>
    <col min="6" max="6" width="14.109375" style="2" hidden="1" customWidth="1"/>
    <col min="7" max="7" width="15.109375" style="2" customWidth="1"/>
    <col min="8" max="8" width="16.44140625" style="2" customWidth="1"/>
    <col min="9" max="9" width="16.5546875" style="2" customWidth="1"/>
    <col min="10" max="10" width="16" style="2" customWidth="1"/>
    <col min="11" max="11" width="17.44140625" style="2" customWidth="1"/>
    <col min="12" max="16" width="15.109375" style="2" customWidth="1"/>
    <col min="17" max="17" width="14.21875" style="2" customWidth="1"/>
    <col min="18" max="19" width="14.6640625" style="2" hidden="1" customWidth="1"/>
    <col min="20" max="20" width="12.5546875" style="1" hidden="1" customWidth="1"/>
    <col min="21" max="21" width="15" style="1" hidden="1" customWidth="1"/>
    <col min="22" max="22" width="11.44140625" style="1" hidden="1" customWidth="1"/>
    <col min="23" max="23" width="9.109375" style="1" hidden="1" customWidth="1"/>
    <col min="24" max="24" width="12" style="1" hidden="1" customWidth="1"/>
    <col min="25" max="26" width="13.109375" style="1" hidden="1" customWidth="1"/>
    <col min="27" max="27" width="9.109375" style="1" hidden="1" customWidth="1"/>
    <col min="28" max="28" width="13.88671875" style="1" hidden="1" customWidth="1"/>
    <col min="29" max="29" width="13.44140625" style="1" hidden="1" customWidth="1"/>
    <col min="30" max="30" width="13.5546875" style="1" hidden="1" customWidth="1"/>
    <col min="31" max="32" width="13.6640625" style="1" hidden="1" customWidth="1"/>
    <col min="33" max="33" width="9.109375" style="1" hidden="1" customWidth="1"/>
    <col min="34" max="34" width="12.33203125" style="1" hidden="1" customWidth="1"/>
    <col min="35" max="35" width="9.109375" style="1" hidden="1" customWidth="1"/>
    <col min="36" max="36" width="13.6640625" style="1" hidden="1" customWidth="1"/>
    <col min="37" max="37" width="9.109375" style="1" hidden="1" customWidth="1"/>
    <col min="38" max="38" width="13.33203125" style="1" hidden="1" customWidth="1"/>
    <col min="39" max="39" width="9.109375" style="1" hidden="1" customWidth="1"/>
    <col min="40" max="40" width="11.6640625" style="1" hidden="1" customWidth="1"/>
    <col min="41" max="44" width="9.109375" style="1" hidden="1" customWidth="1"/>
    <col min="45" max="45" width="13" style="1" hidden="1" customWidth="1"/>
    <col min="46" max="46" width="16.44140625" style="1" hidden="1" customWidth="1"/>
    <col min="47" max="47" width="9.109375" style="1" hidden="1" customWidth="1"/>
    <col min="48" max="48" width="11.6640625" style="1" hidden="1" customWidth="1"/>
    <col min="49" max="49" width="11.88671875" style="1" hidden="1" customWidth="1"/>
    <col min="50" max="51" width="9.109375" style="1" hidden="1" customWidth="1"/>
    <col min="52" max="52" width="0.109375" style="1" hidden="1" customWidth="1"/>
    <col min="53" max="53" width="14.109375" style="1" hidden="1" customWidth="1"/>
    <col min="54" max="54" width="19.88671875" style="1" hidden="1" customWidth="1"/>
    <col min="55" max="60" width="9.109375" style="1" hidden="1" customWidth="1"/>
    <col min="61" max="61" width="11.33203125" style="1" hidden="1" customWidth="1"/>
    <col min="62" max="62" width="11.21875" style="1" hidden="1" customWidth="1"/>
    <col min="63" max="63" width="11.88671875" style="1" hidden="1" customWidth="1"/>
    <col min="64" max="64" width="11.33203125" style="1" hidden="1" customWidth="1"/>
    <col min="65" max="115" width="9.109375" style="1" hidden="1" customWidth="1"/>
    <col min="116" max="266" width="9.109375" style="1" customWidth="1"/>
    <col min="267" max="267" width="56.109375" style="1" customWidth="1"/>
    <col min="268" max="273" width="7.6640625" style="1"/>
    <col min="274" max="274" width="20.44140625" style="1" customWidth="1"/>
    <col min="275" max="275" width="37.44140625" style="1" customWidth="1"/>
    <col min="276" max="276" width="0" style="1" hidden="1" customWidth="1"/>
    <col min="277" max="277" width="27" style="1" customWidth="1"/>
    <col min="278" max="278" width="16.44140625" style="1" customWidth="1"/>
    <col min="279" max="279" width="0" style="1" hidden="1" customWidth="1"/>
    <col min="280" max="280" width="15.109375" style="1" customWidth="1"/>
    <col min="281" max="281" width="16.44140625" style="1" customWidth="1"/>
    <col min="282" max="282" width="16.5546875" style="1" customWidth="1"/>
    <col min="283" max="283" width="14.44140625" style="1" customWidth="1"/>
    <col min="284" max="284" width="16.5546875" style="1" customWidth="1"/>
    <col min="285" max="285" width="15.109375" style="1" customWidth="1"/>
    <col min="286" max="297" width="0" style="1" hidden="1" customWidth="1"/>
    <col min="298" max="298" width="9.109375" style="1" customWidth="1"/>
    <col min="299" max="300" width="0" style="1" hidden="1" customWidth="1"/>
    <col min="301" max="301" width="9.109375" style="1" customWidth="1"/>
    <col min="302" max="303" width="0" style="1" hidden="1" customWidth="1"/>
    <col min="304" max="522" width="9.109375" style="1" customWidth="1"/>
    <col min="523" max="523" width="56.109375" style="1" customWidth="1"/>
    <col min="524" max="529" width="7.6640625" style="1"/>
    <col min="530" max="530" width="20.44140625" style="1" customWidth="1"/>
    <col min="531" max="531" width="37.44140625" style="1" customWidth="1"/>
    <col min="532" max="532" width="0" style="1" hidden="1" customWidth="1"/>
    <col min="533" max="533" width="27" style="1" customWidth="1"/>
    <col min="534" max="534" width="16.44140625" style="1" customWidth="1"/>
    <col min="535" max="535" width="0" style="1" hidden="1" customWidth="1"/>
    <col min="536" max="536" width="15.109375" style="1" customWidth="1"/>
    <col min="537" max="537" width="16.44140625" style="1" customWidth="1"/>
    <col min="538" max="538" width="16.5546875" style="1" customWidth="1"/>
    <col min="539" max="539" width="14.44140625" style="1" customWidth="1"/>
    <col min="540" max="540" width="16.5546875" style="1" customWidth="1"/>
    <col min="541" max="541" width="15.109375" style="1" customWidth="1"/>
    <col min="542" max="553" width="0" style="1" hidden="1" customWidth="1"/>
    <col min="554" max="554" width="9.109375" style="1" customWidth="1"/>
    <col min="555" max="556" width="0" style="1" hidden="1" customWidth="1"/>
    <col min="557" max="557" width="9.109375" style="1" customWidth="1"/>
    <col min="558" max="559" width="0" style="1" hidden="1" customWidth="1"/>
    <col min="560" max="778" width="9.109375" style="1" customWidth="1"/>
    <col min="779" max="779" width="56.109375" style="1" customWidth="1"/>
    <col min="780" max="785" width="7.6640625" style="1"/>
    <col min="786" max="786" width="20.44140625" style="1" customWidth="1"/>
    <col min="787" max="787" width="37.44140625" style="1" customWidth="1"/>
    <col min="788" max="788" width="0" style="1" hidden="1" customWidth="1"/>
    <col min="789" max="789" width="27" style="1" customWidth="1"/>
    <col min="790" max="790" width="16.44140625" style="1" customWidth="1"/>
    <col min="791" max="791" width="0" style="1" hidden="1" customWidth="1"/>
    <col min="792" max="792" width="15.109375" style="1" customWidth="1"/>
    <col min="793" max="793" width="16.44140625" style="1" customWidth="1"/>
    <col min="794" max="794" width="16.5546875" style="1" customWidth="1"/>
    <col min="795" max="795" width="14.44140625" style="1" customWidth="1"/>
    <col min="796" max="796" width="16.5546875" style="1" customWidth="1"/>
    <col min="797" max="797" width="15.109375" style="1" customWidth="1"/>
    <col min="798" max="809" width="0" style="1" hidden="1" customWidth="1"/>
    <col min="810" max="810" width="9.109375" style="1" customWidth="1"/>
    <col min="811" max="812" width="0" style="1" hidden="1" customWidth="1"/>
    <col min="813" max="813" width="9.109375" style="1" customWidth="1"/>
    <col min="814" max="815" width="0" style="1" hidden="1" customWidth="1"/>
    <col min="816" max="1034" width="9.109375" style="1" customWidth="1"/>
    <col min="1035" max="1035" width="56.109375" style="1" customWidth="1"/>
    <col min="1036" max="1041" width="7.6640625" style="1"/>
    <col min="1042" max="1042" width="20.44140625" style="1" customWidth="1"/>
    <col min="1043" max="1043" width="37.44140625" style="1" customWidth="1"/>
    <col min="1044" max="1044" width="0" style="1" hidden="1" customWidth="1"/>
    <col min="1045" max="1045" width="27" style="1" customWidth="1"/>
    <col min="1046" max="1046" width="16.44140625" style="1" customWidth="1"/>
    <col min="1047" max="1047" width="0" style="1" hidden="1" customWidth="1"/>
    <col min="1048" max="1048" width="15.109375" style="1" customWidth="1"/>
    <col min="1049" max="1049" width="16.44140625" style="1" customWidth="1"/>
    <col min="1050" max="1050" width="16.5546875" style="1" customWidth="1"/>
    <col min="1051" max="1051" width="14.44140625" style="1" customWidth="1"/>
    <col min="1052" max="1052" width="16.5546875" style="1" customWidth="1"/>
    <col min="1053" max="1053" width="15.109375" style="1" customWidth="1"/>
    <col min="1054" max="1065" width="0" style="1" hidden="1" customWidth="1"/>
    <col min="1066" max="1066" width="9.109375" style="1" customWidth="1"/>
    <col min="1067" max="1068" width="0" style="1" hidden="1" customWidth="1"/>
    <col min="1069" max="1069" width="9.109375" style="1" customWidth="1"/>
    <col min="1070" max="1071" width="0" style="1" hidden="1" customWidth="1"/>
    <col min="1072" max="1290" width="9.109375" style="1" customWidth="1"/>
    <col min="1291" max="1291" width="56.109375" style="1" customWidth="1"/>
    <col min="1292" max="1297" width="7.6640625" style="1"/>
    <col min="1298" max="1298" width="20.44140625" style="1" customWidth="1"/>
    <col min="1299" max="1299" width="37.44140625" style="1" customWidth="1"/>
    <col min="1300" max="1300" width="0" style="1" hidden="1" customWidth="1"/>
    <col min="1301" max="1301" width="27" style="1" customWidth="1"/>
    <col min="1302" max="1302" width="16.44140625" style="1" customWidth="1"/>
    <col min="1303" max="1303" width="0" style="1" hidden="1" customWidth="1"/>
    <col min="1304" max="1304" width="15.109375" style="1" customWidth="1"/>
    <col min="1305" max="1305" width="16.44140625" style="1" customWidth="1"/>
    <col min="1306" max="1306" width="16.5546875" style="1" customWidth="1"/>
    <col min="1307" max="1307" width="14.44140625" style="1" customWidth="1"/>
    <col min="1308" max="1308" width="16.5546875" style="1" customWidth="1"/>
    <col min="1309" max="1309" width="15.109375" style="1" customWidth="1"/>
    <col min="1310" max="1321" width="0" style="1" hidden="1" customWidth="1"/>
    <col min="1322" max="1322" width="9.109375" style="1" customWidth="1"/>
    <col min="1323" max="1324" width="0" style="1" hidden="1" customWidth="1"/>
    <col min="1325" max="1325" width="9.109375" style="1" customWidth="1"/>
    <col min="1326" max="1327" width="0" style="1" hidden="1" customWidth="1"/>
    <col min="1328" max="1546" width="9.109375" style="1" customWidth="1"/>
    <col min="1547" max="1547" width="56.109375" style="1" customWidth="1"/>
    <col min="1548" max="1553" width="7.6640625" style="1"/>
    <col min="1554" max="1554" width="20.44140625" style="1" customWidth="1"/>
    <col min="1555" max="1555" width="37.44140625" style="1" customWidth="1"/>
    <col min="1556" max="1556" width="0" style="1" hidden="1" customWidth="1"/>
    <col min="1557" max="1557" width="27" style="1" customWidth="1"/>
    <col min="1558" max="1558" width="16.44140625" style="1" customWidth="1"/>
    <col min="1559" max="1559" width="0" style="1" hidden="1" customWidth="1"/>
    <col min="1560" max="1560" width="15.109375" style="1" customWidth="1"/>
    <col min="1561" max="1561" width="16.44140625" style="1" customWidth="1"/>
    <col min="1562" max="1562" width="16.5546875" style="1" customWidth="1"/>
    <col min="1563" max="1563" width="14.44140625" style="1" customWidth="1"/>
    <col min="1564" max="1564" width="16.5546875" style="1" customWidth="1"/>
    <col min="1565" max="1565" width="15.109375" style="1" customWidth="1"/>
    <col min="1566" max="1577" width="0" style="1" hidden="1" customWidth="1"/>
    <col min="1578" max="1578" width="9.109375" style="1" customWidth="1"/>
    <col min="1579" max="1580" width="0" style="1" hidden="1" customWidth="1"/>
    <col min="1581" max="1581" width="9.109375" style="1" customWidth="1"/>
    <col min="1582" max="1583" width="0" style="1" hidden="1" customWidth="1"/>
    <col min="1584" max="1802" width="9.109375" style="1" customWidth="1"/>
    <col min="1803" max="1803" width="56.109375" style="1" customWidth="1"/>
    <col min="1804" max="1809" width="7.6640625" style="1"/>
    <col min="1810" max="1810" width="20.44140625" style="1" customWidth="1"/>
    <col min="1811" max="1811" width="37.44140625" style="1" customWidth="1"/>
    <col min="1812" max="1812" width="0" style="1" hidden="1" customWidth="1"/>
    <col min="1813" max="1813" width="27" style="1" customWidth="1"/>
    <col min="1814" max="1814" width="16.44140625" style="1" customWidth="1"/>
    <col min="1815" max="1815" width="0" style="1" hidden="1" customWidth="1"/>
    <col min="1816" max="1816" width="15.109375" style="1" customWidth="1"/>
    <col min="1817" max="1817" width="16.44140625" style="1" customWidth="1"/>
    <col min="1818" max="1818" width="16.5546875" style="1" customWidth="1"/>
    <col min="1819" max="1819" width="14.44140625" style="1" customWidth="1"/>
    <col min="1820" max="1820" width="16.5546875" style="1" customWidth="1"/>
    <col min="1821" max="1821" width="15.109375" style="1" customWidth="1"/>
    <col min="1822" max="1833" width="0" style="1" hidden="1" customWidth="1"/>
    <col min="1834" max="1834" width="9.109375" style="1" customWidth="1"/>
    <col min="1835" max="1836" width="0" style="1" hidden="1" customWidth="1"/>
    <col min="1837" max="1837" width="9.109375" style="1" customWidth="1"/>
    <col min="1838" max="1839" width="0" style="1" hidden="1" customWidth="1"/>
    <col min="1840" max="2058" width="9.109375" style="1" customWidth="1"/>
    <col min="2059" max="2059" width="56.109375" style="1" customWidth="1"/>
    <col min="2060" max="2065" width="7.6640625" style="1"/>
    <col min="2066" max="2066" width="20.44140625" style="1" customWidth="1"/>
    <col min="2067" max="2067" width="37.44140625" style="1" customWidth="1"/>
    <col min="2068" max="2068" width="0" style="1" hidden="1" customWidth="1"/>
    <col min="2069" max="2069" width="27" style="1" customWidth="1"/>
    <col min="2070" max="2070" width="16.44140625" style="1" customWidth="1"/>
    <col min="2071" max="2071" width="0" style="1" hidden="1" customWidth="1"/>
    <col min="2072" max="2072" width="15.109375" style="1" customWidth="1"/>
    <col min="2073" max="2073" width="16.44140625" style="1" customWidth="1"/>
    <col min="2074" max="2074" width="16.5546875" style="1" customWidth="1"/>
    <col min="2075" max="2075" width="14.44140625" style="1" customWidth="1"/>
    <col min="2076" max="2076" width="16.5546875" style="1" customWidth="1"/>
    <col min="2077" max="2077" width="15.109375" style="1" customWidth="1"/>
    <col min="2078" max="2089" width="0" style="1" hidden="1" customWidth="1"/>
    <col min="2090" max="2090" width="9.109375" style="1" customWidth="1"/>
    <col min="2091" max="2092" width="0" style="1" hidden="1" customWidth="1"/>
    <col min="2093" max="2093" width="9.109375" style="1" customWidth="1"/>
    <col min="2094" max="2095" width="0" style="1" hidden="1" customWidth="1"/>
    <col min="2096" max="2314" width="9.109375" style="1" customWidth="1"/>
    <col min="2315" max="2315" width="56.109375" style="1" customWidth="1"/>
    <col min="2316" max="2321" width="7.6640625" style="1"/>
    <col min="2322" max="2322" width="20.44140625" style="1" customWidth="1"/>
    <col min="2323" max="2323" width="37.44140625" style="1" customWidth="1"/>
    <col min="2324" max="2324" width="0" style="1" hidden="1" customWidth="1"/>
    <col min="2325" max="2325" width="27" style="1" customWidth="1"/>
    <col min="2326" max="2326" width="16.44140625" style="1" customWidth="1"/>
    <col min="2327" max="2327" width="0" style="1" hidden="1" customWidth="1"/>
    <col min="2328" max="2328" width="15.109375" style="1" customWidth="1"/>
    <col min="2329" max="2329" width="16.44140625" style="1" customWidth="1"/>
    <col min="2330" max="2330" width="16.5546875" style="1" customWidth="1"/>
    <col min="2331" max="2331" width="14.44140625" style="1" customWidth="1"/>
    <col min="2332" max="2332" width="16.5546875" style="1" customWidth="1"/>
    <col min="2333" max="2333" width="15.109375" style="1" customWidth="1"/>
    <col min="2334" max="2345" width="0" style="1" hidden="1" customWidth="1"/>
    <col min="2346" max="2346" width="9.109375" style="1" customWidth="1"/>
    <col min="2347" max="2348" width="0" style="1" hidden="1" customWidth="1"/>
    <col min="2349" max="2349" width="9.109375" style="1" customWidth="1"/>
    <col min="2350" max="2351" width="0" style="1" hidden="1" customWidth="1"/>
    <col min="2352" max="2570" width="9.109375" style="1" customWidth="1"/>
    <col min="2571" max="2571" width="56.109375" style="1" customWidth="1"/>
    <col min="2572" max="2577" width="7.6640625" style="1"/>
    <col min="2578" max="2578" width="20.44140625" style="1" customWidth="1"/>
    <col min="2579" max="2579" width="37.44140625" style="1" customWidth="1"/>
    <col min="2580" max="2580" width="0" style="1" hidden="1" customWidth="1"/>
    <col min="2581" max="2581" width="27" style="1" customWidth="1"/>
    <col min="2582" max="2582" width="16.44140625" style="1" customWidth="1"/>
    <col min="2583" max="2583" width="0" style="1" hidden="1" customWidth="1"/>
    <col min="2584" max="2584" width="15.109375" style="1" customWidth="1"/>
    <col min="2585" max="2585" width="16.44140625" style="1" customWidth="1"/>
    <col min="2586" max="2586" width="16.5546875" style="1" customWidth="1"/>
    <col min="2587" max="2587" width="14.44140625" style="1" customWidth="1"/>
    <col min="2588" max="2588" width="16.5546875" style="1" customWidth="1"/>
    <col min="2589" max="2589" width="15.109375" style="1" customWidth="1"/>
    <col min="2590" max="2601" width="0" style="1" hidden="1" customWidth="1"/>
    <col min="2602" max="2602" width="9.109375" style="1" customWidth="1"/>
    <col min="2603" max="2604" width="0" style="1" hidden="1" customWidth="1"/>
    <col min="2605" max="2605" width="9.109375" style="1" customWidth="1"/>
    <col min="2606" max="2607" width="0" style="1" hidden="1" customWidth="1"/>
    <col min="2608" max="2826" width="9.109375" style="1" customWidth="1"/>
    <col min="2827" max="2827" width="56.109375" style="1" customWidth="1"/>
    <col min="2828" max="2833" width="7.6640625" style="1"/>
    <col min="2834" max="2834" width="20.44140625" style="1" customWidth="1"/>
    <col min="2835" max="2835" width="37.44140625" style="1" customWidth="1"/>
    <col min="2836" max="2836" width="0" style="1" hidden="1" customWidth="1"/>
    <col min="2837" max="2837" width="27" style="1" customWidth="1"/>
    <col min="2838" max="2838" width="16.44140625" style="1" customWidth="1"/>
    <col min="2839" max="2839" width="0" style="1" hidden="1" customWidth="1"/>
    <col min="2840" max="2840" width="15.109375" style="1" customWidth="1"/>
    <col min="2841" max="2841" width="16.44140625" style="1" customWidth="1"/>
    <col min="2842" max="2842" width="16.5546875" style="1" customWidth="1"/>
    <col min="2843" max="2843" width="14.44140625" style="1" customWidth="1"/>
    <col min="2844" max="2844" width="16.5546875" style="1" customWidth="1"/>
    <col min="2845" max="2845" width="15.109375" style="1" customWidth="1"/>
    <col min="2846" max="2857" width="0" style="1" hidden="1" customWidth="1"/>
    <col min="2858" max="2858" width="9.109375" style="1" customWidth="1"/>
    <col min="2859" max="2860" width="0" style="1" hidden="1" customWidth="1"/>
    <col min="2861" max="2861" width="9.109375" style="1" customWidth="1"/>
    <col min="2862" max="2863" width="0" style="1" hidden="1" customWidth="1"/>
    <col min="2864" max="3082" width="9.109375" style="1" customWidth="1"/>
    <col min="3083" max="3083" width="56.109375" style="1" customWidth="1"/>
    <col min="3084" max="3089" width="7.6640625" style="1"/>
    <col min="3090" max="3090" width="20.44140625" style="1" customWidth="1"/>
    <col min="3091" max="3091" width="37.44140625" style="1" customWidth="1"/>
    <col min="3092" max="3092" width="0" style="1" hidden="1" customWidth="1"/>
    <col min="3093" max="3093" width="27" style="1" customWidth="1"/>
    <col min="3094" max="3094" width="16.44140625" style="1" customWidth="1"/>
    <col min="3095" max="3095" width="0" style="1" hidden="1" customWidth="1"/>
    <col min="3096" max="3096" width="15.109375" style="1" customWidth="1"/>
    <col min="3097" max="3097" width="16.44140625" style="1" customWidth="1"/>
    <col min="3098" max="3098" width="16.5546875" style="1" customWidth="1"/>
    <col min="3099" max="3099" width="14.44140625" style="1" customWidth="1"/>
    <col min="3100" max="3100" width="16.5546875" style="1" customWidth="1"/>
    <col min="3101" max="3101" width="15.109375" style="1" customWidth="1"/>
    <col min="3102" max="3113" width="0" style="1" hidden="1" customWidth="1"/>
    <col min="3114" max="3114" width="9.109375" style="1" customWidth="1"/>
    <col min="3115" max="3116" width="0" style="1" hidden="1" customWidth="1"/>
    <col min="3117" max="3117" width="9.109375" style="1" customWidth="1"/>
    <col min="3118" max="3119" width="0" style="1" hidden="1" customWidth="1"/>
    <col min="3120" max="3338" width="9.109375" style="1" customWidth="1"/>
    <col min="3339" max="3339" width="56.109375" style="1" customWidth="1"/>
    <col min="3340" max="3345" width="7.6640625" style="1"/>
    <col min="3346" max="3346" width="20.44140625" style="1" customWidth="1"/>
    <col min="3347" max="3347" width="37.44140625" style="1" customWidth="1"/>
    <col min="3348" max="3348" width="0" style="1" hidden="1" customWidth="1"/>
    <col min="3349" max="3349" width="27" style="1" customWidth="1"/>
    <col min="3350" max="3350" width="16.44140625" style="1" customWidth="1"/>
    <col min="3351" max="3351" width="0" style="1" hidden="1" customWidth="1"/>
    <col min="3352" max="3352" width="15.109375" style="1" customWidth="1"/>
    <col min="3353" max="3353" width="16.44140625" style="1" customWidth="1"/>
    <col min="3354" max="3354" width="16.5546875" style="1" customWidth="1"/>
    <col min="3355" max="3355" width="14.44140625" style="1" customWidth="1"/>
    <col min="3356" max="3356" width="16.5546875" style="1" customWidth="1"/>
    <col min="3357" max="3357" width="15.109375" style="1" customWidth="1"/>
    <col min="3358" max="3369" width="0" style="1" hidden="1" customWidth="1"/>
    <col min="3370" max="3370" width="9.109375" style="1" customWidth="1"/>
    <col min="3371" max="3372" width="0" style="1" hidden="1" customWidth="1"/>
    <col min="3373" max="3373" width="9.109375" style="1" customWidth="1"/>
    <col min="3374" max="3375" width="0" style="1" hidden="1" customWidth="1"/>
    <col min="3376" max="3594" width="9.109375" style="1" customWidth="1"/>
    <col min="3595" max="3595" width="56.109375" style="1" customWidth="1"/>
    <col min="3596" max="3601" width="7.6640625" style="1"/>
    <col min="3602" max="3602" width="20.44140625" style="1" customWidth="1"/>
    <col min="3603" max="3603" width="37.44140625" style="1" customWidth="1"/>
    <col min="3604" max="3604" width="0" style="1" hidden="1" customWidth="1"/>
    <col min="3605" max="3605" width="27" style="1" customWidth="1"/>
    <col min="3606" max="3606" width="16.44140625" style="1" customWidth="1"/>
    <col min="3607" max="3607" width="0" style="1" hidden="1" customWidth="1"/>
    <col min="3608" max="3608" width="15.109375" style="1" customWidth="1"/>
    <col min="3609" max="3609" width="16.44140625" style="1" customWidth="1"/>
    <col min="3610" max="3610" width="16.5546875" style="1" customWidth="1"/>
    <col min="3611" max="3611" width="14.44140625" style="1" customWidth="1"/>
    <col min="3612" max="3612" width="16.5546875" style="1" customWidth="1"/>
    <col min="3613" max="3613" width="15.109375" style="1" customWidth="1"/>
    <col min="3614" max="3625" width="0" style="1" hidden="1" customWidth="1"/>
    <col min="3626" max="3626" width="9.109375" style="1" customWidth="1"/>
    <col min="3627" max="3628" width="0" style="1" hidden="1" customWidth="1"/>
    <col min="3629" max="3629" width="9.109375" style="1" customWidth="1"/>
    <col min="3630" max="3631" width="0" style="1" hidden="1" customWidth="1"/>
    <col min="3632" max="3850" width="9.109375" style="1" customWidth="1"/>
    <col min="3851" max="3851" width="56.109375" style="1" customWidth="1"/>
    <col min="3852" max="3857" width="7.6640625" style="1"/>
    <col min="3858" max="3858" width="20.44140625" style="1" customWidth="1"/>
    <col min="3859" max="3859" width="37.44140625" style="1" customWidth="1"/>
    <col min="3860" max="3860" width="0" style="1" hidden="1" customWidth="1"/>
    <col min="3861" max="3861" width="27" style="1" customWidth="1"/>
    <col min="3862" max="3862" width="16.44140625" style="1" customWidth="1"/>
    <col min="3863" max="3863" width="0" style="1" hidden="1" customWidth="1"/>
    <col min="3864" max="3864" width="15.109375" style="1" customWidth="1"/>
    <col min="3865" max="3865" width="16.44140625" style="1" customWidth="1"/>
    <col min="3866" max="3866" width="16.5546875" style="1" customWidth="1"/>
    <col min="3867" max="3867" width="14.44140625" style="1" customWidth="1"/>
    <col min="3868" max="3868" width="16.5546875" style="1" customWidth="1"/>
    <col min="3869" max="3869" width="15.109375" style="1" customWidth="1"/>
    <col min="3870" max="3881" width="0" style="1" hidden="1" customWidth="1"/>
    <col min="3882" max="3882" width="9.109375" style="1" customWidth="1"/>
    <col min="3883" max="3884" width="0" style="1" hidden="1" customWidth="1"/>
    <col min="3885" max="3885" width="9.109375" style="1" customWidth="1"/>
    <col min="3886" max="3887" width="0" style="1" hidden="1" customWidth="1"/>
    <col min="3888" max="4106" width="9.109375" style="1" customWidth="1"/>
    <col min="4107" max="4107" width="56.109375" style="1" customWidth="1"/>
    <col min="4108" max="4113" width="7.6640625" style="1"/>
    <col min="4114" max="4114" width="20.44140625" style="1" customWidth="1"/>
    <col min="4115" max="4115" width="37.44140625" style="1" customWidth="1"/>
    <col min="4116" max="4116" width="0" style="1" hidden="1" customWidth="1"/>
    <col min="4117" max="4117" width="27" style="1" customWidth="1"/>
    <col min="4118" max="4118" width="16.44140625" style="1" customWidth="1"/>
    <col min="4119" max="4119" width="0" style="1" hidden="1" customWidth="1"/>
    <col min="4120" max="4120" width="15.109375" style="1" customWidth="1"/>
    <col min="4121" max="4121" width="16.44140625" style="1" customWidth="1"/>
    <col min="4122" max="4122" width="16.5546875" style="1" customWidth="1"/>
    <col min="4123" max="4123" width="14.44140625" style="1" customWidth="1"/>
    <col min="4124" max="4124" width="16.5546875" style="1" customWidth="1"/>
    <col min="4125" max="4125" width="15.109375" style="1" customWidth="1"/>
    <col min="4126" max="4137" width="0" style="1" hidden="1" customWidth="1"/>
    <col min="4138" max="4138" width="9.109375" style="1" customWidth="1"/>
    <col min="4139" max="4140" width="0" style="1" hidden="1" customWidth="1"/>
    <col min="4141" max="4141" width="9.109375" style="1" customWidth="1"/>
    <col min="4142" max="4143" width="0" style="1" hidden="1" customWidth="1"/>
    <col min="4144" max="4362" width="9.109375" style="1" customWidth="1"/>
    <col min="4363" max="4363" width="56.109375" style="1" customWidth="1"/>
    <col min="4364" max="4369" width="7.6640625" style="1"/>
    <col min="4370" max="4370" width="20.44140625" style="1" customWidth="1"/>
    <col min="4371" max="4371" width="37.44140625" style="1" customWidth="1"/>
    <col min="4372" max="4372" width="0" style="1" hidden="1" customWidth="1"/>
    <col min="4373" max="4373" width="27" style="1" customWidth="1"/>
    <col min="4374" max="4374" width="16.44140625" style="1" customWidth="1"/>
    <col min="4375" max="4375" width="0" style="1" hidden="1" customWidth="1"/>
    <col min="4376" max="4376" width="15.109375" style="1" customWidth="1"/>
    <col min="4377" max="4377" width="16.44140625" style="1" customWidth="1"/>
    <col min="4378" max="4378" width="16.5546875" style="1" customWidth="1"/>
    <col min="4379" max="4379" width="14.44140625" style="1" customWidth="1"/>
    <col min="4380" max="4380" width="16.5546875" style="1" customWidth="1"/>
    <col min="4381" max="4381" width="15.109375" style="1" customWidth="1"/>
    <col min="4382" max="4393" width="0" style="1" hidden="1" customWidth="1"/>
    <col min="4394" max="4394" width="9.109375" style="1" customWidth="1"/>
    <col min="4395" max="4396" width="0" style="1" hidden="1" customWidth="1"/>
    <col min="4397" max="4397" width="9.109375" style="1" customWidth="1"/>
    <col min="4398" max="4399" width="0" style="1" hidden="1" customWidth="1"/>
    <col min="4400" max="4618" width="9.109375" style="1" customWidth="1"/>
    <col min="4619" max="4619" width="56.109375" style="1" customWidth="1"/>
    <col min="4620" max="4625" width="7.6640625" style="1"/>
    <col min="4626" max="4626" width="20.44140625" style="1" customWidth="1"/>
    <col min="4627" max="4627" width="37.44140625" style="1" customWidth="1"/>
    <col min="4628" max="4628" width="0" style="1" hidden="1" customWidth="1"/>
    <col min="4629" max="4629" width="27" style="1" customWidth="1"/>
    <col min="4630" max="4630" width="16.44140625" style="1" customWidth="1"/>
    <col min="4631" max="4631" width="0" style="1" hidden="1" customWidth="1"/>
    <col min="4632" max="4632" width="15.109375" style="1" customWidth="1"/>
    <col min="4633" max="4633" width="16.44140625" style="1" customWidth="1"/>
    <col min="4634" max="4634" width="16.5546875" style="1" customWidth="1"/>
    <col min="4635" max="4635" width="14.44140625" style="1" customWidth="1"/>
    <col min="4636" max="4636" width="16.5546875" style="1" customWidth="1"/>
    <col min="4637" max="4637" width="15.109375" style="1" customWidth="1"/>
    <col min="4638" max="4649" width="0" style="1" hidden="1" customWidth="1"/>
    <col min="4650" max="4650" width="9.109375" style="1" customWidth="1"/>
    <col min="4651" max="4652" width="0" style="1" hidden="1" customWidth="1"/>
    <col min="4653" max="4653" width="9.109375" style="1" customWidth="1"/>
    <col min="4654" max="4655" width="0" style="1" hidden="1" customWidth="1"/>
    <col min="4656" max="4874" width="9.109375" style="1" customWidth="1"/>
    <col min="4875" max="4875" width="56.109375" style="1" customWidth="1"/>
    <col min="4876" max="4881" width="7.6640625" style="1"/>
    <col min="4882" max="4882" width="20.44140625" style="1" customWidth="1"/>
    <col min="4883" max="4883" width="37.44140625" style="1" customWidth="1"/>
    <col min="4884" max="4884" width="0" style="1" hidden="1" customWidth="1"/>
    <col min="4885" max="4885" width="27" style="1" customWidth="1"/>
    <col min="4886" max="4886" width="16.44140625" style="1" customWidth="1"/>
    <col min="4887" max="4887" width="0" style="1" hidden="1" customWidth="1"/>
    <col min="4888" max="4888" width="15.109375" style="1" customWidth="1"/>
    <col min="4889" max="4889" width="16.44140625" style="1" customWidth="1"/>
    <col min="4890" max="4890" width="16.5546875" style="1" customWidth="1"/>
    <col min="4891" max="4891" width="14.44140625" style="1" customWidth="1"/>
    <col min="4892" max="4892" width="16.5546875" style="1" customWidth="1"/>
    <col min="4893" max="4893" width="15.109375" style="1" customWidth="1"/>
    <col min="4894" max="4905" width="0" style="1" hidden="1" customWidth="1"/>
    <col min="4906" max="4906" width="9.109375" style="1" customWidth="1"/>
    <col min="4907" max="4908" width="0" style="1" hidden="1" customWidth="1"/>
    <col min="4909" max="4909" width="9.109375" style="1" customWidth="1"/>
    <col min="4910" max="4911" width="0" style="1" hidden="1" customWidth="1"/>
    <col min="4912" max="5130" width="9.109375" style="1" customWidth="1"/>
    <col min="5131" max="5131" width="56.109375" style="1" customWidth="1"/>
    <col min="5132" max="5137" width="7.6640625" style="1"/>
    <col min="5138" max="5138" width="20.44140625" style="1" customWidth="1"/>
    <col min="5139" max="5139" width="37.44140625" style="1" customWidth="1"/>
    <col min="5140" max="5140" width="0" style="1" hidden="1" customWidth="1"/>
    <col min="5141" max="5141" width="27" style="1" customWidth="1"/>
    <col min="5142" max="5142" width="16.44140625" style="1" customWidth="1"/>
    <col min="5143" max="5143" width="0" style="1" hidden="1" customWidth="1"/>
    <col min="5144" max="5144" width="15.109375" style="1" customWidth="1"/>
    <col min="5145" max="5145" width="16.44140625" style="1" customWidth="1"/>
    <col min="5146" max="5146" width="16.5546875" style="1" customWidth="1"/>
    <col min="5147" max="5147" width="14.44140625" style="1" customWidth="1"/>
    <col min="5148" max="5148" width="16.5546875" style="1" customWidth="1"/>
    <col min="5149" max="5149" width="15.109375" style="1" customWidth="1"/>
    <col min="5150" max="5161" width="0" style="1" hidden="1" customWidth="1"/>
    <col min="5162" max="5162" width="9.109375" style="1" customWidth="1"/>
    <col min="5163" max="5164" width="0" style="1" hidden="1" customWidth="1"/>
    <col min="5165" max="5165" width="9.109375" style="1" customWidth="1"/>
    <col min="5166" max="5167" width="0" style="1" hidden="1" customWidth="1"/>
    <col min="5168" max="5386" width="9.109375" style="1" customWidth="1"/>
    <col min="5387" max="5387" width="56.109375" style="1" customWidth="1"/>
    <col min="5388" max="5393" width="7.6640625" style="1"/>
    <col min="5394" max="5394" width="20.44140625" style="1" customWidth="1"/>
    <col min="5395" max="5395" width="37.44140625" style="1" customWidth="1"/>
    <col min="5396" max="5396" width="0" style="1" hidden="1" customWidth="1"/>
    <col min="5397" max="5397" width="27" style="1" customWidth="1"/>
    <col min="5398" max="5398" width="16.44140625" style="1" customWidth="1"/>
    <col min="5399" max="5399" width="0" style="1" hidden="1" customWidth="1"/>
    <col min="5400" max="5400" width="15.109375" style="1" customWidth="1"/>
    <col min="5401" max="5401" width="16.44140625" style="1" customWidth="1"/>
    <col min="5402" max="5402" width="16.5546875" style="1" customWidth="1"/>
    <col min="5403" max="5403" width="14.44140625" style="1" customWidth="1"/>
    <col min="5404" max="5404" width="16.5546875" style="1" customWidth="1"/>
    <col min="5405" max="5405" width="15.109375" style="1" customWidth="1"/>
    <col min="5406" max="5417" width="0" style="1" hidden="1" customWidth="1"/>
    <col min="5418" max="5418" width="9.109375" style="1" customWidth="1"/>
    <col min="5419" max="5420" width="0" style="1" hidden="1" customWidth="1"/>
    <col min="5421" max="5421" width="9.109375" style="1" customWidth="1"/>
    <col min="5422" max="5423" width="0" style="1" hidden="1" customWidth="1"/>
    <col min="5424" max="5642" width="9.109375" style="1" customWidth="1"/>
    <col min="5643" max="5643" width="56.109375" style="1" customWidth="1"/>
    <col min="5644" max="5649" width="7.6640625" style="1"/>
    <col min="5650" max="5650" width="20.44140625" style="1" customWidth="1"/>
    <col min="5651" max="5651" width="37.44140625" style="1" customWidth="1"/>
    <col min="5652" max="5652" width="0" style="1" hidden="1" customWidth="1"/>
    <col min="5653" max="5653" width="27" style="1" customWidth="1"/>
    <col min="5654" max="5654" width="16.44140625" style="1" customWidth="1"/>
    <col min="5655" max="5655" width="0" style="1" hidden="1" customWidth="1"/>
    <col min="5656" max="5656" width="15.109375" style="1" customWidth="1"/>
    <col min="5657" max="5657" width="16.44140625" style="1" customWidth="1"/>
    <col min="5658" max="5658" width="16.5546875" style="1" customWidth="1"/>
    <col min="5659" max="5659" width="14.44140625" style="1" customWidth="1"/>
    <col min="5660" max="5660" width="16.5546875" style="1" customWidth="1"/>
    <col min="5661" max="5661" width="15.109375" style="1" customWidth="1"/>
    <col min="5662" max="5673" width="0" style="1" hidden="1" customWidth="1"/>
    <col min="5674" max="5674" width="9.109375" style="1" customWidth="1"/>
    <col min="5675" max="5676" width="0" style="1" hidden="1" customWidth="1"/>
    <col min="5677" max="5677" width="9.109375" style="1" customWidth="1"/>
    <col min="5678" max="5679" width="0" style="1" hidden="1" customWidth="1"/>
    <col min="5680" max="5898" width="9.109375" style="1" customWidth="1"/>
    <col min="5899" max="5899" width="56.109375" style="1" customWidth="1"/>
    <col min="5900" max="5905" width="7.6640625" style="1"/>
    <col min="5906" max="5906" width="20.44140625" style="1" customWidth="1"/>
    <col min="5907" max="5907" width="37.44140625" style="1" customWidth="1"/>
    <col min="5908" max="5908" width="0" style="1" hidden="1" customWidth="1"/>
    <col min="5909" max="5909" width="27" style="1" customWidth="1"/>
    <col min="5910" max="5910" width="16.44140625" style="1" customWidth="1"/>
    <col min="5911" max="5911" width="0" style="1" hidden="1" customWidth="1"/>
    <col min="5912" max="5912" width="15.109375" style="1" customWidth="1"/>
    <col min="5913" max="5913" width="16.44140625" style="1" customWidth="1"/>
    <col min="5914" max="5914" width="16.5546875" style="1" customWidth="1"/>
    <col min="5915" max="5915" width="14.44140625" style="1" customWidth="1"/>
    <col min="5916" max="5916" width="16.5546875" style="1" customWidth="1"/>
    <col min="5917" max="5917" width="15.109375" style="1" customWidth="1"/>
    <col min="5918" max="5929" width="0" style="1" hidden="1" customWidth="1"/>
    <col min="5930" max="5930" width="9.109375" style="1" customWidth="1"/>
    <col min="5931" max="5932" width="0" style="1" hidden="1" customWidth="1"/>
    <col min="5933" max="5933" width="9.109375" style="1" customWidth="1"/>
    <col min="5934" max="5935" width="0" style="1" hidden="1" customWidth="1"/>
    <col min="5936" max="6154" width="9.109375" style="1" customWidth="1"/>
    <col min="6155" max="6155" width="56.109375" style="1" customWidth="1"/>
    <col min="6156" max="6161" width="7.6640625" style="1"/>
    <col min="6162" max="6162" width="20.44140625" style="1" customWidth="1"/>
    <col min="6163" max="6163" width="37.44140625" style="1" customWidth="1"/>
    <col min="6164" max="6164" width="0" style="1" hidden="1" customWidth="1"/>
    <col min="6165" max="6165" width="27" style="1" customWidth="1"/>
    <col min="6166" max="6166" width="16.44140625" style="1" customWidth="1"/>
    <col min="6167" max="6167" width="0" style="1" hidden="1" customWidth="1"/>
    <col min="6168" max="6168" width="15.109375" style="1" customWidth="1"/>
    <col min="6169" max="6169" width="16.44140625" style="1" customWidth="1"/>
    <col min="6170" max="6170" width="16.5546875" style="1" customWidth="1"/>
    <col min="6171" max="6171" width="14.44140625" style="1" customWidth="1"/>
    <col min="6172" max="6172" width="16.5546875" style="1" customWidth="1"/>
    <col min="6173" max="6173" width="15.109375" style="1" customWidth="1"/>
    <col min="6174" max="6185" width="0" style="1" hidden="1" customWidth="1"/>
    <col min="6186" max="6186" width="9.109375" style="1" customWidth="1"/>
    <col min="6187" max="6188" width="0" style="1" hidden="1" customWidth="1"/>
    <col min="6189" max="6189" width="9.109375" style="1" customWidth="1"/>
    <col min="6190" max="6191" width="0" style="1" hidden="1" customWidth="1"/>
    <col min="6192" max="6410" width="9.109375" style="1" customWidth="1"/>
    <col min="6411" max="6411" width="56.109375" style="1" customWidth="1"/>
    <col min="6412" max="6417" width="7.6640625" style="1"/>
    <col min="6418" max="6418" width="20.44140625" style="1" customWidth="1"/>
    <col min="6419" max="6419" width="37.44140625" style="1" customWidth="1"/>
    <col min="6420" max="6420" width="0" style="1" hidden="1" customWidth="1"/>
    <col min="6421" max="6421" width="27" style="1" customWidth="1"/>
    <col min="6422" max="6422" width="16.44140625" style="1" customWidth="1"/>
    <col min="6423" max="6423" width="0" style="1" hidden="1" customWidth="1"/>
    <col min="6424" max="6424" width="15.109375" style="1" customWidth="1"/>
    <col min="6425" max="6425" width="16.44140625" style="1" customWidth="1"/>
    <col min="6426" max="6426" width="16.5546875" style="1" customWidth="1"/>
    <col min="6427" max="6427" width="14.44140625" style="1" customWidth="1"/>
    <col min="6428" max="6428" width="16.5546875" style="1" customWidth="1"/>
    <col min="6429" max="6429" width="15.109375" style="1" customWidth="1"/>
    <col min="6430" max="6441" width="0" style="1" hidden="1" customWidth="1"/>
    <col min="6442" max="6442" width="9.109375" style="1" customWidth="1"/>
    <col min="6443" max="6444" width="0" style="1" hidden="1" customWidth="1"/>
    <col min="6445" max="6445" width="9.109375" style="1" customWidth="1"/>
    <col min="6446" max="6447" width="0" style="1" hidden="1" customWidth="1"/>
    <col min="6448" max="6666" width="9.109375" style="1" customWidth="1"/>
    <col min="6667" max="6667" width="56.109375" style="1" customWidth="1"/>
    <col min="6668" max="6673" width="7.6640625" style="1"/>
    <col min="6674" max="6674" width="20.44140625" style="1" customWidth="1"/>
    <col min="6675" max="6675" width="37.44140625" style="1" customWidth="1"/>
    <col min="6676" max="6676" width="0" style="1" hidden="1" customWidth="1"/>
    <col min="6677" max="6677" width="27" style="1" customWidth="1"/>
    <col min="6678" max="6678" width="16.44140625" style="1" customWidth="1"/>
    <col min="6679" max="6679" width="0" style="1" hidden="1" customWidth="1"/>
    <col min="6680" max="6680" width="15.109375" style="1" customWidth="1"/>
    <col min="6681" max="6681" width="16.44140625" style="1" customWidth="1"/>
    <col min="6682" max="6682" width="16.5546875" style="1" customWidth="1"/>
    <col min="6683" max="6683" width="14.44140625" style="1" customWidth="1"/>
    <col min="6684" max="6684" width="16.5546875" style="1" customWidth="1"/>
    <col min="6685" max="6685" width="15.109375" style="1" customWidth="1"/>
    <col min="6686" max="6697" width="0" style="1" hidden="1" customWidth="1"/>
    <col min="6698" max="6698" width="9.109375" style="1" customWidth="1"/>
    <col min="6699" max="6700" width="0" style="1" hidden="1" customWidth="1"/>
    <col min="6701" max="6701" width="9.109375" style="1" customWidth="1"/>
    <col min="6702" max="6703" width="0" style="1" hidden="1" customWidth="1"/>
    <col min="6704" max="6922" width="9.109375" style="1" customWidth="1"/>
    <col min="6923" max="6923" width="56.109375" style="1" customWidth="1"/>
    <col min="6924" max="6929" width="7.6640625" style="1"/>
    <col min="6930" max="6930" width="20.44140625" style="1" customWidth="1"/>
    <col min="6931" max="6931" width="37.44140625" style="1" customWidth="1"/>
    <col min="6932" max="6932" width="0" style="1" hidden="1" customWidth="1"/>
    <col min="6933" max="6933" width="27" style="1" customWidth="1"/>
    <col min="6934" max="6934" width="16.44140625" style="1" customWidth="1"/>
    <col min="6935" max="6935" width="0" style="1" hidden="1" customWidth="1"/>
    <col min="6936" max="6936" width="15.109375" style="1" customWidth="1"/>
    <col min="6937" max="6937" width="16.44140625" style="1" customWidth="1"/>
    <col min="6938" max="6938" width="16.5546875" style="1" customWidth="1"/>
    <col min="6939" max="6939" width="14.44140625" style="1" customWidth="1"/>
    <col min="6940" max="6940" width="16.5546875" style="1" customWidth="1"/>
    <col min="6941" max="6941" width="15.109375" style="1" customWidth="1"/>
    <col min="6942" max="6953" width="0" style="1" hidden="1" customWidth="1"/>
    <col min="6954" max="6954" width="9.109375" style="1" customWidth="1"/>
    <col min="6955" max="6956" width="0" style="1" hidden="1" customWidth="1"/>
    <col min="6957" max="6957" width="9.109375" style="1" customWidth="1"/>
    <col min="6958" max="6959" width="0" style="1" hidden="1" customWidth="1"/>
    <col min="6960" max="7178" width="9.109375" style="1" customWidth="1"/>
    <col min="7179" max="7179" width="56.109375" style="1" customWidth="1"/>
    <col min="7180" max="7185" width="7.6640625" style="1"/>
    <col min="7186" max="7186" width="20.44140625" style="1" customWidth="1"/>
    <col min="7187" max="7187" width="37.44140625" style="1" customWidth="1"/>
    <col min="7188" max="7188" width="0" style="1" hidden="1" customWidth="1"/>
    <col min="7189" max="7189" width="27" style="1" customWidth="1"/>
    <col min="7190" max="7190" width="16.44140625" style="1" customWidth="1"/>
    <col min="7191" max="7191" width="0" style="1" hidden="1" customWidth="1"/>
    <col min="7192" max="7192" width="15.109375" style="1" customWidth="1"/>
    <col min="7193" max="7193" width="16.44140625" style="1" customWidth="1"/>
    <col min="7194" max="7194" width="16.5546875" style="1" customWidth="1"/>
    <col min="7195" max="7195" width="14.44140625" style="1" customWidth="1"/>
    <col min="7196" max="7196" width="16.5546875" style="1" customWidth="1"/>
    <col min="7197" max="7197" width="15.109375" style="1" customWidth="1"/>
    <col min="7198" max="7209" width="0" style="1" hidden="1" customWidth="1"/>
    <col min="7210" max="7210" width="9.109375" style="1" customWidth="1"/>
    <col min="7211" max="7212" width="0" style="1" hidden="1" customWidth="1"/>
    <col min="7213" max="7213" width="9.109375" style="1" customWidth="1"/>
    <col min="7214" max="7215" width="0" style="1" hidden="1" customWidth="1"/>
    <col min="7216" max="7434" width="9.109375" style="1" customWidth="1"/>
    <col min="7435" max="7435" width="56.109375" style="1" customWidth="1"/>
    <col min="7436" max="7441" width="7.6640625" style="1"/>
    <col min="7442" max="7442" width="20.44140625" style="1" customWidth="1"/>
    <col min="7443" max="7443" width="37.44140625" style="1" customWidth="1"/>
    <col min="7444" max="7444" width="0" style="1" hidden="1" customWidth="1"/>
    <col min="7445" max="7445" width="27" style="1" customWidth="1"/>
    <col min="7446" max="7446" width="16.44140625" style="1" customWidth="1"/>
    <col min="7447" max="7447" width="0" style="1" hidden="1" customWidth="1"/>
    <col min="7448" max="7448" width="15.109375" style="1" customWidth="1"/>
    <col min="7449" max="7449" width="16.44140625" style="1" customWidth="1"/>
    <col min="7450" max="7450" width="16.5546875" style="1" customWidth="1"/>
    <col min="7451" max="7451" width="14.44140625" style="1" customWidth="1"/>
    <col min="7452" max="7452" width="16.5546875" style="1" customWidth="1"/>
    <col min="7453" max="7453" width="15.109375" style="1" customWidth="1"/>
    <col min="7454" max="7465" width="0" style="1" hidden="1" customWidth="1"/>
    <col min="7466" max="7466" width="9.109375" style="1" customWidth="1"/>
    <col min="7467" max="7468" width="0" style="1" hidden="1" customWidth="1"/>
    <col min="7469" max="7469" width="9.109375" style="1" customWidth="1"/>
    <col min="7470" max="7471" width="0" style="1" hidden="1" customWidth="1"/>
    <col min="7472" max="7690" width="9.109375" style="1" customWidth="1"/>
    <col min="7691" max="7691" width="56.109375" style="1" customWidth="1"/>
    <col min="7692" max="7697" width="7.6640625" style="1"/>
    <col min="7698" max="7698" width="20.44140625" style="1" customWidth="1"/>
    <col min="7699" max="7699" width="37.44140625" style="1" customWidth="1"/>
    <col min="7700" max="7700" width="0" style="1" hidden="1" customWidth="1"/>
    <col min="7701" max="7701" width="27" style="1" customWidth="1"/>
    <col min="7702" max="7702" width="16.44140625" style="1" customWidth="1"/>
    <col min="7703" max="7703" width="0" style="1" hidden="1" customWidth="1"/>
    <col min="7704" max="7704" width="15.109375" style="1" customWidth="1"/>
    <col min="7705" max="7705" width="16.44140625" style="1" customWidth="1"/>
    <col min="7706" max="7706" width="16.5546875" style="1" customWidth="1"/>
    <col min="7707" max="7707" width="14.44140625" style="1" customWidth="1"/>
    <col min="7708" max="7708" width="16.5546875" style="1" customWidth="1"/>
    <col min="7709" max="7709" width="15.109375" style="1" customWidth="1"/>
    <col min="7710" max="7721" width="0" style="1" hidden="1" customWidth="1"/>
    <col min="7722" max="7722" width="9.109375" style="1" customWidth="1"/>
    <col min="7723" max="7724" width="0" style="1" hidden="1" customWidth="1"/>
    <col min="7725" max="7725" width="9.109375" style="1" customWidth="1"/>
    <col min="7726" max="7727" width="0" style="1" hidden="1" customWidth="1"/>
    <col min="7728" max="7946" width="9.109375" style="1" customWidth="1"/>
    <col min="7947" max="7947" width="56.109375" style="1" customWidth="1"/>
    <col min="7948" max="7953" width="7.6640625" style="1"/>
    <col min="7954" max="7954" width="20.44140625" style="1" customWidth="1"/>
    <col min="7955" max="7955" width="37.44140625" style="1" customWidth="1"/>
    <col min="7956" max="7956" width="0" style="1" hidden="1" customWidth="1"/>
    <col min="7957" max="7957" width="27" style="1" customWidth="1"/>
    <col min="7958" max="7958" width="16.44140625" style="1" customWidth="1"/>
    <col min="7959" max="7959" width="0" style="1" hidden="1" customWidth="1"/>
    <col min="7960" max="7960" width="15.109375" style="1" customWidth="1"/>
    <col min="7961" max="7961" width="16.44140625" style="1" customWidth="1"/>
    <col min="7962" max="7962" width="16.5546875" style="1" customWidth="1"/>
    <col min="7963" max="7963" width="14.44140625" style="1" customWidth="1"/>
    <col min="7964" max="7964" width="16.5546875" style="1" customWidth="1"/>
    <col min="7965" max="7965" width="15.109375" style="1" customWidth="1"/>
    <col min="7966" max="7977" width="0" style="1" hidden="1" customWidth="1"/>
    <col min="7978" max="7978" width="9.109375" style="1" customWidth="1"/>
    <col min="7979" max="7980" width="0" style="1" hidden="1" customWidth="1"/>
    <col min="7981" max="7981" width="9.109375" style="1" customWidth="1"/>
    <col min="7982" max="7983" width="0" style="1" hidden="1" customWidth="1"/>
    <col min="7984" max="8202" width="9.109375" style="1" customWidth="1"/>
    <col min="8203" max="8203" width="56.109375" style="1" customWidth="1"/>
    <col min="8204" max="8209" width="7.6640625" style="1"/>
    <col min="8210" max="8210" width="20.44140625" style="1" customWidth="1"/>
    <col min="8211" max="8211" width="37.44140625" style="1" customWidth="1"/>
    <col min="8212" max="8212" width="0" style="1" hidden="1" customWidth="1"/>
    <col min="8213" max="8213" width="27" style="1" customWidth="1"/>
    <col min="8214" max="8214" width="16.44140625" style="1" customWidth="1"/>
    <col min="8215" max="8215" width="0" style="1" hidden="1" customWidth="1"/>
    <col min="8216" max="8216" width="15.109375" style="1" customWidth="1"/>
    <col min="8217" max="8217" width="16.44140625" style="1" customWidth="1"/>
    <col min="8218" max="8218" width="16.5546875" style="1" customWidth="1"/>
    <col min="8219" max="8219" width="14.44140625" style="1" customWidth="1"/>
    <col min="8220" max="8220" width="16.5546875" style="1" customWidth="1"/>
    <col min="8221" max="8221" width="15.109375" style="1" customWidth="1"/>
    <col min="8222" max="8233" width="0" style="1" hidden="1" customWidth="1"/>
    <col min="8234" max="8234" width="9.109375" style="1" customWidth="1"/>
    <col min="8235" max="8236" width="0" style="1" hidden="1" customWidth="1"/>
    <col min="8237" max="8237" width="9.109375" style="1" customWidth="1"/>
    <col min="8238" max="8239" width="0" style="1" hidden="1" customWidth="1"/>
    <col min="8240" max="8458" width="9.109375" style="1" customWidth="1"/>
    <col min="8459" max="8459" width="56.109375" style="1" customWidth="1"/>
    <col min="8460" max="8465" width="7.6640625" style="1"/>
    <col min="8466" max="8466" width="20.44140625" style="1" customWidth="1"/>
    <col min="8467" max="8467" width="37.44140625" style="1" customWidth="1"/>
    <col min="8468" max="8468" width="0" style="1" hidden="1" customWidth="1"/>
    <col min="8469" max="8469" width="27" style="1" customWidth="1"/>
    <col min="8470" max="8470" width="16.44140625" style="1" customWidth="1"/>
    <col min="8471" max="8471" width="0" style="1" hidden="1" customWidth="1"/>
    <col min="8472" max="8472" width="15.109375" style="1" customWidth="1"/>
    <col min="8473" max="8473" width="16.44140625" style="1" customWidth="1"/>
    <col min="8474" max="8474" width="16.5546875" style="1" customWidth="1"/>
    <col min="8475" max="8475" width="14.44140625" style="1" customWidth="1"/>
    <col min="8476" max="8476" width="16.5546875" style="1" customWidth="1"/>
    <col min="8477" max="8477" width="15.109375" style="1" customWidth="1"/>
    <col min="8478" max="8489" width="0" style="1" hidden="1" customWidth="1"/>
    <col min="8490" max="8490" width="9.109375" style="1" customWidth="1"/>
    <col min="8491" max="8492" width="0" style="1" hidden="1" customWidth="1"/>
    <col min="8493" max="8493" width="9.109375" style="1" customWidth="1"/>
    <col min="8494" max="8495" width="0" style="1" hidden="1" customWidth="1"/>
    <col min="8496" max="8714" width="9.109375" style="1" customWidth="1"/>
    <col min="8715" max="8715" width="56.109375" style="1" customWidth="1"/>
    <col min="8716" max="8721" width="7.6640625" style="1"/>
    <col min="8722" max="8722" width="20.44140625" style="1" customWidth="1"/>
    <col min="8723" max="8723" width="37.44140625" style="1" customWidth="1"/>
    <col min="8724" max="8724" width="0" style="1" hidden="1" customWidth="1"/>
    <col min="8725" max="8725" width="27" style="1" customWidth="1"/>
    <col min="8726" max="8726" width="16.44140625" style="1" customWidth="1"/>
    <col min="8727" max="8727" width="0" style="1" hidden="1" customWidth="1"/>
    <col min="8728" max="8728" width="15.109375" style="1" customWidth="1"/>
    <col min="8729" max="8729" width="16.44140625" style="1" customWidth="1"/>
    <col min="8730" max="8730" width="16.5546875" style="1" customWidth="1"/>
    <col min="8731" max="8731" width="14.44140625" style="1" customWidth="1"/>
    <col min="8732" max="8732" width="16.5546875" style="1" customWidth="1"/>
    <col min="8733" max="8733" width="15.109375" style="1" customWidth="1"/>
    <col min="8734" max="8745" width="0" style="1" hidden="1" customWidth="1"/>
    <col min="8746" max="8746" width="9.109375" style="1" customWidth="1"/>
    <col min="8747" max="8748" width="0" style="1" hidden="1" customWidth="1"/>
    <col min="8749" max="8749" width="9.109375" style="1" customWidth="1"/>
    <col min="8750" max="8751" width="0" style="1" hidden="1" customWidth="1"/>
    <col min="8752" max="8970" width="9.109375" style="1" customWidth="1"/>
    <col min="8971" max="8971" width="56.109375" style="1" customWidth="1"/>
    <col min="8972" max="8977" width="7.6640625" style="1"/>
    <col min="8978" max="8978" width="20.44140625" style="1" customWidth="1"/>
    <col min="8979" max="8979" width="37.44140625" style="1" customWidth="1"/>
    <col min="8980" max="8980" width="0" style="1" hidden="1" customWidth="1"/>
    <col min="8981" max="8981" width="27" style="1" customWidth="1"/>
    <col min="8982" max="8982" width="16.44140625" style="1" customWidth="1"/>
    <col min="8983" max="8983" width="0" style="1" hidden="1" customWidth="1"/>
    <col min="8984" max="8984" width="15.109375" style="1" customWidth="1"/>
    <col min="8985" max="8985" width="16.44140625" style="1" customWidth="1"/>
    <col min="8986" max="8986" width="16.5546875" style="1" customWidth="1"/>
    <col min="8987" max="8987" width="14.44140625" style="1" customWidth="1"/>
    <col min="8988" max="8988" width="16.5546875" style="1" customWidth="1"/>
    <col min="8989" max="8989" width="15.109375" style="1" customWidth="1"/>
    <col min="8990" max="9001" width="0" style="1" hidden="1" customWidth="1"/>
    <col min="9002" max="9002" width="9.109375" style="1" customWidth="1"/>
    <col min="9003" max="9004" width="0" style="1" hidden="1" customWidth="1"/>
    <col min="9005" max="9005" width="9.109375" style="1" customWidth="1"/>
    <col min="9006" max="9007" width="0" style="1" hidden="1" customWidth="1"/>
    <col min="9008" max="9226" width="9.109375" style="1" customWidth="1"/>
    <col min="9227" max="9227" width="56.109375" style="1" customWidth="1"/>
    <col min="9228" max="9233" width="7.6640625" style="1"/>
    <col min="9234" max="9234" width="20.44140625" style="1" customWidth="1"/>
    <col min="9235" max="9235" width="37.44140625" style="1" customWidth="1"/>
    <col min="9236" max="9236" width="0" style="1" hidden="1" customWidth="1"/>
    <col min="9237" max="9237" width="27" style="1" customWidth="1"/>
    <col min="9238" max="9238" width="16.44140625" style="1" customWidth="1"/>
    <col min="9239" max="9239" width="0" style="1" hidden="1" customWidth="1"/>
    <col min="9240" max="9240" width="15.109375" style="1" customWidth="1"/>
    <col min="9241" max="9241" width="16.44140625" style="1" customWidth="1"/>
    <col min="9242" max="9242" width="16.5546875" style="1" customWidth="1"/>
    <col min="9243" max="9243" width="14.44140625" style="1" customWidth="1"/>
    <col min="9244" max="9244" width="16.5546875" style="1" customWidth="1"/>
    <col min="9245" max="9245" width="15.109375" style="1" customWidth="1"/>
    <col min="9246" max="9257" width="0" style="1" hidden="1" customWidth="1"/>
    <col min="9258" max="9258" width="9.109375" style="1" customWidth="1"/>
    <col min="9259" max="9260" width="0" style="1" hidden="1" customWidth="1"/>
    <col min="9261" max="9261" width="9.109375" style="1" customWidth="1"/>
    <col min="9262" max="9263" width="0" style="1" hidden="1" customWidth="1"/>
    <col min="9264" max="9482" width="9.109375" style="1" customWidth="1"/>
    <col min="9483" max="9483" width="56.109375" style="1" customWidth="1"/>
    <col min="9484" max="9489" width="7.6640625" style="1"/>
    <col min="9490" max="9490" width="20.44140625" style="1" customWidth="1"/>
    <col min="9491" max="9491" width="37.44140625" style="1" customWidth="1"/>
    <col min="9492" max="9492" width="0" style="1" hidden="1" customWidth="1"/>
    <col min="9493" max="9493" width="27" style="1" customWidth="1"/>
    <col min="9494" max="9494" width="16.44140625" style="1" customWidth="1"/>
    <col min="9495" max="9495" width="0" style="1" hidden="1" customWidth="1"/>
    <col min="9496" max="9496" width="15.109375" style="1" customWidth="1"/>
    <col min="9497" max="9497" width="16.44140625" style="1" customWidth="1"/>
    <col min="9498" max="9498" width="16.5546875" style="1" customWidth="1"/>
    <col min="9499" max="9499" width="14.44140625" style="1" customWidth="1"/>
    <col min="9500" max="9500" width="16.5546875" style="1" customWidth="1"/>
    <col min="9501" max="9501" width="15.109375" style="1" customWidth="1"/>
    <col min="9502" max="9513" width="0" style="1" hidden="1" customWidth="1"/>
    <col min="9514" max="9514" width="9.109375" style="1" customWidth="1"/>
    <col min="9515" max="9516" width="0" style="1" hidden="1" customWidth="1"/>
    <col min="9517" max="9517" width="9.109375" style="1" customWidth="1"/>
    <col min="9518" max="9519" width="0" style="1" hidden="1" customWidth="1"/>
    <col min="9520" max="9738" width="9.109375" style="1" customWidth="1"/>
    <col min="9739" max="9739" width="56.109375" style="1" customWidth="1"/>
    <col min="9740" max="9745" width="7.6640625" style="1"/>
    <col min="9746" max="9746" width="20.44140625" style="1" customWidth="1"/>
    <col min="9747" max="9747" width="37.44140625" style="1" customWidth="1"/>
    <col min="9748" max="9748" width="0" style="1" hidden="1" customWidth="1"/>
    <col min="9749" max="9749" width="27" style="1" customWidth="1"/>
    <col min="9750" max="9750" width="16.44140625" style="1" customWidth="1"/>
    <col min="9751" max="9751" width="0" style="1" hidden="1" customWidth="1"/>
    <col min="9752" max="9752" width="15.109375" style="1" customWidth="1"/>
    <col min="9753" max="9753" width="16.44140625" style="1" customWidth="1"/>
    <col min="9754" max="9754" width="16.5546875" style="1" customWidth="1"/>
    <col min="9755" max="9755" width="14.44140625" style="1" customWidth="1"/>
    <col min="9756" max="9756" width="16.5546875" style="1" customWidth="1"/>
    <col min="9757" max="9757" width="15.109375" style="1" customWidth="1"/>
    <col min="9758" max="9769" width="0" style="1" hidden="1" customWidth="1"/>
    <col min="9770" max="9770" width="9.109375" style="1" customWidth="1"/>
    <col min="9771" max="9772" width="0" style="1" hidden="1" customWidth="1"/>
    <col min="9773" max="9773" width="9.109375" style="1" customWidth="1"/>
    <col min="9774" max="9775" width="0" style="1" hidden="1" customWidth="1"/>
    <col min="9776" max="9994" width="9.109375" style="1" customWidth="1"/>
    <col min="9995" max="9995" width="56.109375" style="1" customWidth="1"/>
    <col min="9996" max="10001" width="7.6640625" style="1"/>
    <col min="10002" max="10002" width="20.44140625" style="1" customWidth="1"/>
    <col min="10003" max="10003" width="37.44140625" style="1" customWidth="1"/>
    <col min="10004" max="10004" width="0" style="1" hidden="1" customWidth="1"/>
    <col min="10005" max="10005" width="27" style="1" customWidth="1"/>
    <col min="10006" max="10006" width="16.44140625" style="1" customWidth="1"/>
    <col min="10007" max="10007" width="0" style="1" hidden="1" customWidth="1"/>
    <col min="10008" max="10008" width="15.109375" style="1" customWidth="1"/>
    <col min="10009" max="10009" width="16.44140625" style="1" customWidth="1"/>
    <col min="10010" max="10010" width="16.5546875" style="1" customWidth="1"/>
    <col min="10011" max="10011" width="14.44140625" style="1" customWidth="1"/>
    <col min="10012" max="10012" width="16.5546875" style="1" customWidth="1"/>
    <col min="10013" max="10013" width="15.109375" style="1" customWidth="1"/>
    <col min="10014" max="10025" width="0" style="1" hidden="1" customWidth="1"/>
    <col min="10026" max="10026" width="9.109375" style="1" customWidth="1"/>
    <col min="10027" max="10028" width="0" style="1" hidden="1" customWidth="1"/>
    <col min="10029" max="10029" width="9.109375" style="1" customWidth="1"/>
    <col min="10030" max="10031" width="0" style="1" hidden="1" customWidth="1"/>
    <col min="10032" max="10250" width="9.109375" style="1" customWidth="1"/>
    <col min="10251" max="10251" width="56.109375" style="1" customWidth="1"/>
    <col min="10252" max="10257" width="7.6640625" style="1"/>
    <col min="10258" max="10258" width="20.44140625" style="1" customWidth="1"/>
    <col min="10259" max="10259" width="37.44140625" style="1" customWidth="1"/>
    <col min="10260" max="10260" width="0" style="1" hidden="1" customWidth="1"/>
    <col min="10261" max="10261" width="27" style="1" customWidth="1"/>
    <col min="10262" max="10262" width="16.44140625" style="1" customWidth="1"/>
    <col min="10263" max="10263" width="0" style="1" hidden="1" customWidth="1"/>
    <col min="10264" max="10264" width="15.109375" style="1" customWidth="1"/>
    <col min="10265" max="10265" width="16.44140625" style="1" customWidth="1"/>
    <col min="10266" max="10266" width="16.5546875" style="1" customWidth="1"/>
    <col min="10267" max="10267" width="14.44140625" style="1" customWidth="1"/>
    <col min="10268" max="10268" width="16.5546875" style="1" customWidth="1"/>
    <col min="10269" max="10269" width="15.109375" style="1" customWidth="1"/>
    <col min="10270" max="10281" width="0" style="1" hidden="1" customWidth="1"/>
    <col min="10282" max="10282" width="9.109375" style="1" customWidth="1"/>
    <col min="10283" max="10284" width="0" style="1" hidden="1" customWidth="1"/>
    <col min="10285" max="10285" width="9.109375" style="1" customWidth="1"/>
    <col min="10286" max="10287" width="0" style="1" hidden="1" customWidth="1"/>
    <col min="10288" max="10506" width="9.109375" style="1" customWidth="1"/>
    <col min="10507" max="10507" width="56.109375" style="1" customWidth="1"/>
    <col min="10508" max="10513" width="7.6640625" style="1"/>
    <col min="10514" max="10514" width="20.44140625" style="1" customWidth="1"/>
    <col min="10515" max="10515" width="37.44140625" style="1" customWidth="1"/>
    <col min="10516" max="10516" width="0" style="1" hidden="1" customWidth="1"/>
    <col min="10517" max="10517" width="27" style="1" customWidth="1"/>
    <col min="10518" max="10518" width="16.44140625" style="1" customWidth="1"/>
    <col min="10519" max="10519" width="0" style="1" hidden="1" customWidth="1"/>
    <col min="10520" max="10520" width="15.109375" style="1" customWidth="1"/>
    <col min="10521" max="10521" width="16.44140625" style="1" customWidth="1"/>
    <col min="10522" max="10522" width="16.5546875" style="1" customWidth="1"/>
    <col min="10523" max="10523" width="14.44140625" style="1" customWidth="1"/>
    <col min="10524" max="10524" width="16.5546875" style="1" customWidth="1"/>
    <col min="10525" max="10525" width="15.109375" style="1" customWidth="1"/>
    <col min="10526" max="10537" width="0" style="1" hidden="1" customWidth="1"/>
    <col min="10538" max="10538" width="9.109375" style="1" customWidth="1"/>
    <col min="10539" max="10540" width="0" style="1" hidden="1" customWidth="1"/>
    <col min="10541" max="10541" width="9.109375" style="1" customWidth="1"/>
    <col min="10542" max="10543" width="0" style="1" hidden="1" customWidth="1"/>
    <col min="10544" max="10762" width="9.109375" style="1" customWidth="1"/>
    <col min="10763" max="10763" width="56.109375" style="1" customWidth="1"/>
    <col min="10764" max="10769" width="7.6640625" style="1"/>
    <col min="10770" max="10770" width="20.44140625" style="1" customWidth="1"/>
    <col min="10771" max="10771" width="37.44140625" style="1" customWidth="1"/>
    <col min="10772" max="10772" width="0" style="1" hidden="1" customWidth="1"/>
    <col min="10773" max="10773" width="27" style="1" customWidth="1"/>
    <col min="10774" max="10774" width="16.44140625" style="1" customWidth="1"/>
    <col min="10775" max="10775" width="0" style="1" hidden="1" customWidth="1"/>
    <col min="10776" max="10776" width="15.109375" style="1" customWidth="1"/>
    <col min="10777" max="10777" width="16.44140625" style="1" customWidth="1"/>
    <col min="10778" max="10778" width="16.5546875" style="1" customWidth="1"/>
    <col min="10779" max="10779" width="14.44140625" style="1" customWidth="1"/>
    <col min="10780" max="10780" width="16.5546875" style="1" customWidth="1"/>
    <col min="10781" max="10781" width="15.109375" style="1" customWidth="1"/>
    <col min="10782" max="10793" width="0" style="1" hidden="1" customWidth="1"/>
    <col min="10794" max="10794" width="9.109375" style="1" customWidth="1"/>
    <col min="10795" max="10796" width="0" style="1" hidden="1" customWidth="1"/>
    <col min="10797" max="10797" width="9.109375" style="1" customWidth="1"/>
    <col min="10798" max="10799" width="0" style="1" hidden="1" customWidth="1"/>
    <col min="10800" max="11018" width="9.109375" style="1" customWidth="1"/>
    <col min="11019" max="11019" width="56.109375" style="1" customWidth="1"/>
    <col min="11020" max="11025" width="7.6640625" style="1"/>
    <col min="11026" max="11026" width="20.44140625" style="1" customWidth="1"/>
    <col min="11027" max="11027" width="37.44140625" style="1" customWidth="1"/>
    <col min="11028" max="11028" width="0" style="1" hidden="1" customWidth="1"/>
    <col min="11029" max="11029" width="27" style="1" customWidth="1"/>
    <col min="11030" max="11030" width="16.44140625" style="1" customWidth="1"/>
    <col min="11031" max="11031" width="0" style="1" hidden="1" customWidth="1"/>
    <col min="11032" max="11032" width="15.109375" style="1" customWidth="1"/>
    <col min="11033" max="11033" width="16.44140625" style="1" customWidth="1"/>
    <col min="11034" max="11034" width="16.5546875" style="1" customWidth="1"/>
    <col min="11035" max="11035" width="14.44140625" style="1" customWidth="1"/>
    <col min="11036" max="11036" width="16.5546875" style="1" customWidth="1"/>
    <col min="11037" max="11037" width="15.109375" style="1" customWidth="1"/>
    <col min="11038" max="11049" width="0" style="1" hidden="1" customWidth="1"/>
    <col min="11050" max="11050" width="9.109375" style="1" customWidth="1"/>
    <col min="11051" max="11052" width="0" style="1" hidden="1" customWidth="1"/>
    <col min="11053" max="11053" width="9.109375" style="1" customWidth="1"/>
    <col min="11054" max="11055" width="0" style="1" hidden="1" customWidth="1"/>
    <col min="11056" max="11274" width="9.109375" style="1" customWidth="1"/>
    <col min="11275" max="11275" width="56.109375" style="1" customWidth="1"/>
    <col min="11276" max="11281" width="7.6640625" style="1"/>
    <col min="11282" max="11282" width="20.44140625" style="1" customWidth="1"/>
    <col min="11283" max="11283" width="37.44140625" style="1" customWidth="1"/>
    <col min="11284" max="11284" width="0" style="1" hidden="1" customWidth="1"/>
    <col min="11285" max="11285" width="27" style="1" customWidth="1"/>
    <col min="11286" max="11286" width="16.44140625" style="1" customWidth="1"/>
    <col min="11287" max="11287" width="0" style="1" hidden="1" customWidth="1"/>
    <col min="11288" max="11288" width="15.109375" style="1" customWidth="1"/>
    <col min="11289" max="11289" width="16.44140625" style="1" customWidth="1"/>
    <col min="11290" max="11290" width="16.5546875" style="1" customWidth="1"/>
    <col min="11291" max="11291" width="14.44140625" style="1" customWidth="1"/>
    <col min="11292" max="11292" width="16.5546875" style="1" customWidth="1"/>
    <col min="11293" max="11293" width="15.109375" style="1" customWidth="1"/>
    <col min="11294" max="11305" width="0" style="1" hidden="1" customWidth="1"/>
    <col min="11306" max="11306" width="9.109375" style="1" customWidth="1"/>
    <col min="11307" max="11308" width="0" style="1" hidden="1" customWidth="1"/>
    <col min="11309" max="11309" width="9.109375" style="1" customWidth="1"/>
    <col min="11310" max="11311" width="0" style="1" hidden="1" customWidth="1"/>
    <col min="11312" max="11530" width="9.109375" style="1" customWidth="1"/>
    <col min="11531" max="11531" width="56.109375" style="1" customWidth="1"/>
    <col min="11532" max="11537" width="7.6640625" style="1"/>
    <col min="11538" max="11538" width="20.44140625" style="1" customWidth="1"/>
    <col min="11539" max="11539" width="37.44140625" style="1" customWidth="1"/>
    <col min="11540" max="11540" width="0" style="1" hidden="1" customWidth="1"/>
    <col min="11541" max="11541" width="27" style="1" customWidth="1"/>
    <col min="11542" max="11542" width="16.44140625" style="1" customWidth="1"/>
    <col min="11543" max="11543" width="0" style="1" hidden="1" customWidth="1"/>
    <col min="11544" max="11544" width="15.109375" style="1" customWidth="1"/>
    <col min="11545" max="11545" width="16.44140625" style="1" customWidth="1"/>
    <col min="11546" max="11546" width="16.5546875" style="1" customWidth="1"/>
    <col min="11547" max="11547" width="14.44140625" style="1" customWidth="1"/>
    <col min="11548" max="11548" width="16.5546875" style="1" customWidth="1"/>
    <col min="11549" max="11549" width="15.109375" style="1" customWidth="1"/>
    <col min="11550" max="11561" width="0" style="1" hidden="1" customWidth="1"/>
    <col min="11562" max="11562" width="9.109375" style="1" customWidth="1"/>
    <col min="11563" max="11564" width="0" style="1" hidden="1" customWidth="1"/>
    <col min="11565" max="11565" width="9.109375" style="1" customWidth="1"/>
    <col min="11566" max="11567" width="0" style="1" hidden="1" customWidth="1"/>
    <col min="11568" max="11786" width="9.109375" style="1" customWidth="1"/>
    <col min="11787" max="11787" width="56.109375" style="1" customWidth="1"/>
    <col min="11788" max="11793" width="7.6640625" style="1"/>
    <col min="11794" max="11794" width="20.44140625" style="1" customWidth="1"/>
    <col min="11795" max="11795" width="37.44140625" style="1" customWidth="1"/>
    <col min="11796" max="11796" width="0" style="1" hidden="1" customWidth="1"/>
    <col min="11797" max="11797" width="27" style="1" customWidth="1"/>
    <col min="11798" max="11798" width="16.44140625" style="1" customWidth="1"/>
    <col min="11799" max="11799" width="0" style="1" hidden="1" customWidth="1"/>
    <col min="11800" max="11800" width="15.109375" style="1" customWidth="1"/>
    <col min="11801" max="11801" width="16.44140625" style="1" customWidth="1"/>
    <col min="11802" max="11802" width="16.5546875" style="1" customWidth="1"/>
    <col min="11803" max="11803" width="14.44140625" style="1" customWidth="1"/>
    <col min="11804" max="11804" width="16.5546875" style="1" customWidth="1"/>
    <col min="11805" max="11805" width="15.109375" style="1" customWidth="1"/>
    <col min="11806" max="11817" width="0" style="1" hidden="1" customWidth="1"/>
    <col min="11818" max="11818" width="9.109375" style="1" customWidth="1"/>
    <col min="11819" max="11820" width="0" style="1" hidden="1" customWidth="1"/>
    <col min="11821" max="11821" width="9.109375" style="1" customWidth="1"/>
    <col min="11822" max="11823" width="0" style="1" hidden="1" customWidth="1"/>
    <col min="11824" max="12042" width="9.109375" style="1" customWidth="1"/>
    <col min="12043" max="12043" width="56.109375" style="1" customWidth="1"/>
    <col min="12044" max="12049" width="7.6640625" style="1"/>
    <col min="12050" max="12050" width="20.44140625" style="1" customWidth="1"/>
    <col min="12051" max="12051" width="37.44140625" style="1" customWidth="1"/>
    <col min="12052" max="12052" width="0" style="1" hidden="1" customWidth="1"/>
    <col min="12053" max="12053" width="27" style="1" customWidth="1"/>
    <col min="12054" max="12054" width="16.44140625" style="1" customWidth="1"/>
    <col min="12055" max="12055" width="0" style="1" hidden="1" customWidth="1"/>
    <col min="12056" max="12056" width="15.109375" style="1" customWidth="1"/>
    <col min="12057" max="12057" width="16.44140625" style="1" customWidth="1"/>
    <col min="12058" max="12058" width="16.5546875" style="1" customWidth="1"/>
    <col min="12059" max="12059" width="14.44140625" style="1" customWidth="1"/>
    <col min="12060" max="12060" width="16.5546875" style="1" customWidth="1"/>
    <col min="12061" max="12061" width="15.109375" style="1" customWidth="1"/>
    <col min="12062" max="12073" width="0" style="1" hidden="1" customWidth="1"/>
    <col min="12074" max="12074" width="9.109375" style="1" customWidth="1"/>
    <col min="12075" max="12076" width="0" style="1" hidden="1" customWidth="1"/>
    <col min="12077" max="12077" width="9.109375" style="1" customWidth="1"/>
    <col min="12078" max="12079" width="0" style="1" hidden="1" customWidth="1"/>
    <col min="12080" max="12298" width="9.109375" style="1" customWidth="1"/>
    <col min="12299" max="12299" width="56.109375" style="1" customWidth="1"/>
    <col min="12300" max="12305" width="7.6640625" style="1"/>
    <col min="12306" max="12306" width="20.44140625" style="1" customWidth="1"/>
    <col min="12307" max="12307" width="37.44140625" style="1" customWidth="1"/>
    <col min="12308" max="12308" width="0" style="1" hidden="1" customWidth="1"/>
    <col min="12309" max="12309" width="27" style="1" customWidth="1"/>
    <col min="12310" max="12310" width="16.44140625" style="1" customWidth="1"/>
    <col min="12311" max="12311" width="0" style="1" hidden="1" customWidth="1"/>
    <col min="12312" max="12312" width="15.109375" style="1" customWidth="1"/>
    <col min="12313" max="12313" width="16.44140625" style="1" customWidth="1"/>
    <col min="12314" max="12314" width="16.5546875" style="1" customWidth="1"/>
    <col min="12315" max="12315" width="14.44140625" style="1" customWidth="1"/>
    <col min="12316" max="12316" width="16.5546875" style="1" customWidth="1"/>
    <col min="12317" max="12317" width="15.109375" style="1" customWidth="1"/>
    <col min="12318" max="12329" width="0" style="1" hidden="1" customWidth="1"/>
    <col min="12330" max="12330" width="9.109375" style="1" customWidth="1"/>
    <col min="12331" max="12332" width="0" style="1" hidden="1" customWidth="1"/>
    <col min="12333" max="12333" width="9.109375" style="1" customWidth="1"/>
    <col min="12334" max="12335" width="0" style="1" hidden="1" customWidth="1"/>
    <col min="12336" max="12554" width="9.109375" style="1" customWidth="1"/>
    <col min="12555" max="12555" width="56.109375" style="1" customWidth="1"/>
    <col min="12556" max="12561" width="7.6640625" style="1"/>
    <col min="12562" max="12562" width="20.44140625" style="1" customWidth="1"/>
    <col min="12563" max="12563" width="37.44140625" style="1" customWidth="1"/>
    <col min="12564" max="12564" width="0" style="1" hidden="1" customWidth="1"/>
    <col min="12565" max="12565" width="27" style="1" customWidth="1"/>
    <col min="12566" max="12566" width="16.44140625" style="1" customWidth="1"/>
    <col min="12567" max="12567" width="0" style="1" hidden="1" customWidth="1"/>
    <col min="12568" max="12568" width="15.109375" style="1" customWidth="1"/>
    <col min="12569" max="12569" width="16.44140625" style="1" customWidth="1"/>
    <col min="12570" max="12570" width="16.5546875" style="1" customWidth="1"/>
    <col min="12571" max="12571" width="14.44140625" style="1" customWidth="1"/>
    <col min="12572" max="12572" width="16.5546875" style="1" customWidth="1"/>
    <col min="12573" max="12573" width="15.109375" style="1" customWidth="1"/>
    <col min="12574" max="12585" width="0" style="1" hidden="1" customWidth="1"/>
    <col min="12586" max="12586" width="9.109375" style="1" customWidth="1"/>
    <col min="12587" max="12588" width="0" style="1" hidden="1" customWidth="1"/>
    <col min="12589" max="12589" width="9.109375" style="1" customWidth="1"/>
    <col min="12590" max="12591" width="0" style="1" hidden="1" customWidth="1"/>
    <col min="12592" max="12810" width="9.109375" style="1" customWidth="1"/>
    <col min="12811" max="12811" width="56.109375" style="1" customWidth="1"/>
    <col min="12812" max="12817" width="7.6640625" style="1"/>
    <col min="12818" max="12818" width="20.44140625" style="1" customWidth="1"/>
    <col min="12819" max="12819" width="37.44140625" style="1" customWidth="1"/>
    <col min="12820" max="12820" width="0" style="1" hidden="1" customWidth="1"/>
    <col min="12821" max="12821" width="27" style="1" customWidth="1"/>
    <col min="12822" max="12822" width="16.44140625" style="1" customWidth="1"/>
    <col min="12823" max="12823" width="0" style="1" hidden="1" customWidth="1"/>
    <col min="12824" max="12824" width="15.109375" style="1" customWidth="1"/>
    <col min="12825" max="12825" width="16.44140625" style="1" customWidth="1"/>
    <col min="12826" max="12826" width="16.5546875" style="1" customWidth="1"/>
    <col min="12827" max="12827" width="14.44140625" style="1" customWidth="1"/>
    <col min="12828" max="12828" width="16.5546875" style="1" customWidth="1"/>
    <col min="12829" max="12829" width="15.109375" style="1" customWidth="1"/>
    <col min="12830" max="12841" width="0" style="1" hidden="1" customWidth="1"/>
    <col min="12842" max="12842" width="9.109375" style="1" customWidth="1"/>
    <col min="12843" max="12844" width="0" style="1" hidden="1" customWidth="1"/>
    <col min="12845" max="12845" width="9.109375" style="1" customWidth="1"/>
    <col min="12846" max="12847" width="0" style="1" hidden="1" customWidth="1"/>
    <col min="12848" max="13066" width="9.109375" style="1" customWidth="1"/>
    <col min="13067" max="13067" width="56.109375" style="1" customWidth="1"/>
    <col min="13068" max="13073" width="7.6640625" style="1"/>
    <col min="13074" max="13074" width="20.44140625" style="1" customWidth="1"/>
    <col min="13075" max="13075" width="37.44140625" style="1" customWidth="1"/>
    <col min="13076" max="13076" width="0" style="1" hidden="1" customWidth="1"/>
    <col min="13077" max="13077" width="27" style="1" customWidth="1"/>
    <col min="13078" max="13078" width="16.44140625" style="1" customWidth="1"/>
    <col min="13079" max="13079" width="0" style="1" hidden="1" customWidth="1"/>
    <col min="13080" max="13080" width="15.109375" style="1" customWidth="1"/>
    <col min="13081" max="13081" width="16.44140625" style="1" customWidth="1"/>
    <col min="13082" max="13082" width="16.5546875" style="1" customWidth="1"/>
    <col min="13083" max="13083" width="14.44140625" style="1" customWidth="1"/>
    <col min="13084" max="13084" width="16.5546875" style="1" customWidth="1"/>
    <col min="13085" max="13085" width="15.109375" style="1" customWidth="1"/>
    <col min="13086" max="13097" width="0" style="1" hidden="1" customWidth="1"/>
    <col min="13098" max="13098" width="9.109375" style="1" customWidth="1"/>
    <col min="13099" max="13100" width="0" style="1" hidden="1" customWidth="1"/>
    <col min="13101" max="13101" width="9.109375" style="1" customWidth="1"/>
    <col min="13102" max="13103" width="0" style="1" hidden="1" customWidth="1"/>
    <col min="13104" max="13322" width="9.109375" style="1" customWidth="1"/>
    <col min="13323" max="13323" width="56.109375" style="1" customWidth="1"/>
    <col min="13324" max="13329" width="7.6640625" style="1"/>
    <col min="13330" max="13330" width="20.44140625" style="1" customWidth="1"/>
    <col min="13331" max="13331" width="37.44140625" style="1" customWidth="1"/>
    <col min="13332" max="13332" width="0" style="1" hidden="1" customWidth="1"/>
    <col min="13333" max="13333" width="27" style="1" customWidth="1"/>
    <col min="13334" max="13334" width="16.44140625" style="1" customWidth="1"/>
    <col min="13335" max="13335" width="0" style="1" hidden="1" customWidth="1"/>
    <col min="13336" max="13336" width="15.109375" style="1" customWidth="1"/>
    <col min="13337" max="13337" width="16.44140625" style="1" customWidth="1"/>
    <col min="13338" max="13338" width="16.5546875" style="1" customWidth="1"/>
    <col min="13339" max="13339" width="14.44140625" style="1" customWidth="1"/>
    <col min="13340" max="13340" width="16.5546875" style="1" customWidth="1"/>
    <col min="13341" max="13341" width="15.109375" style="1" customWidth="1"/>
    <col min="13342" max="13353" width="0" style="1" hidden="1" customWidth="1"/>
    <col min="13354" max="13354" width="9.109375" style="1" customWidth="1"/>
    <col min="13355" max="13356" width="0" style="1" hidden="1" customWidth="1"/>
    <col min="13357" max="13357" width="9.109375" style="1" customWidth="1"/>
    <col min="13358" max="13359" width="0" style="1" hidden="1" customWidth="1"/>
    <col min="13360" max="13578" width="9.109375" style="1" customWidth="1"/>
    <col min="13579" max="13579" width="56.109375" style="1" customWidth="1"/>
    <col min="13580" max="13585" width="7.6640625" style="1"/>
    <col min="13586" max="13586" width="20.44140625" style="1" customWidth="1"/>
    <col min="13587" max="13587" width="37.44140625" style="1" customWidth="1"/>
    <col min="13588" max="13588" width="0" style="1" hidden="1" customWidth="1"/>
    <col min="13589" max="13589" width="27" style="1" customWidth="1"/>
    <col min="13590" max="13590" width="16.44140625" style="1" customWidth="1"/>
    <col min="13591" max="13591" width="0" style="1" hidden="1" customWidth="1"/>
    <col min="13592" max="13592" width="15.109375" style="1" customWidth="1"/>
    <col min="13593" max="13593" width="16.44140625" style="1" customWidth="1"/>
    <col min="13594" max="13594" width="16.5546875" style="1" customWidth="1"/>
    <col min="13595" max="13595" width="14.44140625" style="1" customWidth="1"/>
    <col min="13596" max="13596" width="16.5546875" style="1" customWidth="1"/>
    <col min="13597" max="13597" width="15.109375" style="1" customWidth="1"/>
    <col min="13598" max="13609" width="0" style="1" hidden="1" customWidth="1"/>
    <col min="13610" max="13610" width="9.109375" style="1" customWidth="1"/>
    <col min="13611" max="13612" width="0" style="1" hidden="1" customWidth="1"/>
    <col min="13613" max="13613" width="9.109375" style="1" customWidth="1"/>
    <col min="13614" max="13615" width="0" style="1" hidden="1" customWidth="1"/>
    <col min="13616" max="13834" width="9.109375" style="1" customWidth="1"/>
    <col min="13835" max="13835" width="56.109375" style="1" customWidth="1"/>
    <col min="13836" max="13841" width="7.6640625" style="1"/>
    <col min="13842" max="13842" width="20.44140625" style="1" customWidth="1"/>
    <col min="13843" max="13843" width="37.44140625" style="1" customWidth="1"/>
    <col min="13844" max="13844" width="0" style="1" hidden="1" customWidth="1"/>
    <col min="13845" max="13845" width="27" style="1" customWidth="1"/>
    <col min="13846" max="13846" width="16.44140625" style="1" customWidth="1"/>
    <col min="13847" max="13847" width="0" style="1" hidden="1" customWidth="1"/>
    <col min="13848" max="13848" width="15.109375" style="1" customWidth="1"/>
    <col min="13849" max="13849" width="16.44140625" style="1" customWidth="1"/>
    <col min="13850" max="13850" width="16.5546875" style="1" customWidth="1"/>
    <col min="13851" max="13851" width="14.44140625" style="1" customWidth="1"/>
    <col min="13852" max="13852" width="16.5546875" style="1" customWidth="1"/>
    <col min="13853" max="13853" width="15.109375" style="1" customWidth="1"/>
    <col min="13854" max="13865" width="0" style="1" hidden="1" customWidth="1"/>
    <col min="13866" max="13866" width="9.109375" style="1" customWidth="1"/>
    <col min="13867" max="13868" width="0" style="1" hidden="1" customWidth="1"/>
    <col min="13869" max="13869" width="9.109375" style="1" customWidth="1"/>
    <col min="13870" max="13871" width="0" style="1" hidden="1" customWidth="1"/>
    <col min="13872" max="14090" width="9.109375" style="1" customWidth="1"/>
    <col min="14091" max="14091" width="56.109375" style="1" customWidth="1"/>
    <col min="14092" max="14097" width="7.6640625" style="1"/>
    <col min="14098" max="14098" width="20.44140625" style="1" customWidth="1"/>
    <col min="14099" max="14099" width="37.44140625" style="1" customWidth="1"/>
    <col min="14100" max="14100" width="0" style="1" hidden="1" customWidth="1"/>
    <col min="14101" max="14101" width="27" style="1" customWidth="1"/>
    <col min="14102" max="14102" width="16.44140625" style="1" customWidth="1"/>
    <col min="14103" max="14103" width="0" style="1" hidden="1" customWidth="1"/>
    <col min="14104" max="14104" width="15.109375" style="1" customWidth="1"/>
    <col min="14105" max="14105" width="16.44140625" style="1" customWidth="1"/>
    <col min="14106" max="14106" width="16.5546875" style="1" customWidth="1"/>
    <col min="14107" max="14107" width="14.44140625" style="1" customWidth="1"/>
    <col min="14108" max="14108" width="16.5546875" style="1" customWidth="1"/>
    <col min="14109" max="14109" width="15.109375" style="1" customWidth="1"/>
    <col min="14110" max="14121" width="0" style="1" hidden="1" customWidth="1"/>
    <col min="14122" max="14122" width="9.109375" style="1" customWidth="1"/>
    <col min="14123" max="14124" width="0" style="1" hidden="1" customWidth="1"/>
    <col min="14125" max="14125" width="9.109375" style="1" customWidth="1"/>
    <col min="14126" max="14127" width="0" style="1" hidden="1" customWidth="1"/>
    <col min="14128" max="14346" width="9.109375" style="1" customWidth="1"/>
    <col min="14347" max="14347" width="56.109375" style="1" customWidth="1"/>
    <col min="14348" max="14353" width="7.6640625" style="1"/>
    <col min="14354" max="14354" width="20.44140625" style="1" customWidth="1"/>
    <col min="14355" max="14355" width="37.44140625" style="1" customWidth="1"/>
    <col min="14356" max="14356" width="0" style="1" hidden="1" customWidth="1"/>
    <col min="14357" max="14357" width="27" style="1" customWidth="1"/>
    <col min="14358" max="14358" width="16.44140625" style="1" customWidth="1"/>
    <col min="14359" max="14359" width="0" style="1" hidden="1" customWidth="1"/>
    <col min="14360" max="14360" width="15.109375" style="1" customWidth="1"/>
    <col min="14361" max="14361" width="16.44140625" style="1" customWidth="1"/>
    <col min="14362" max="14362" width="16.5546875" style="1" customWidth="1"/>
    <col min="14363" max="14363" width="14.44140625" style="1" customWidth="1"/>
    <col min="14364" max="14364" width="16.5546875" style="1" customWidth="1"/>
    <col min="14365" max="14365" width="15.109375" style="1" customWidth="1"/>
    <col min="14366" max="14377" width="0" style="1" hidden="1" customWidth="1"/>
    <col min="14378" max="14378" width="9.109375" style="1" customWidth="1"/>
    <col min="14379" max="14380" width="0" style="1" hidden="1" customWidth="1"/>
    <col min="14381" max="14381" width="9.109375" style="1" customWidth="1"/>
    <col min="14382" max="14383" width="0" style="1" hidden="1" customWidth="1"/>
    <col min="14384" max="14602" width="9.109375" style="1" customWidth="1"/>
    <col min="14603" max="14603" width="56.109375" style="1" customWidth="1"/>
    <col min="14604" max="14609" width="7.6640625" style="1"/>
    <col min="14610" max="14610" width="20.44140625" style="1" customWidth="1"/>
    <col min="14611" max="14611" width="37.44140625" style="1" customWidth="1"/>
    <col min="14612" max="14612" width="0" style="1" hidden="1" customWidth="1"/>
    <col min="14613" max="14613" width="27" style="1" customWidth="1"/>
    <col min="14614" max="14614" width="16.44140625" style="1" customWidth="1"/>
    <col min="14615" max="14615" width="0" style="1" hidden="1" customWidth="1"/>
    <col min="14616" max="14616" width="15.109375" style="1" customWidth="1"/>
    <col min="14617" max="14617" width="16.44140625" style="1" customWidth="1"/>
    <col min="14618" max="14618" width="16.5546875" style="1" customWidth="1"/>
    <col min="14619" max="14619" width="14.44140625" style="1" customWidth="1"/>
    <col min="14620" max="14620" width="16.5546875" style="1" customWidth="1"/>
    <col min="14621" max="14621" width="15.109375" style="1" customWidth="1"/>
    <col min="14622" max="14633" width="0" style="1" hidden="1" customWidth="1"/>
    <col min="14634" max="14634" width="9.109375" style="1" customWidth="1"/>
    <col min="14635" max="14636" width="0" style="1" hidden="1" customWidth="1"/>
    <col min="14637" max="14637" width="9.109375" style="1" customWidth="1"/>
    <col min="14638" max="14639" width="0" style="1" hidden="1" customWidth="1"/>
    <col min="14640" max="14858" width="9.109375" style="1" customWidth="1"/>
    <col min="14859" max="14859" width="56.109375" style="1" customWidth="1"/>
    <col min="14860" max="14865" width="7.6640625" style="1"/>
    <col min="14866" max="14866" width="20.44140625" style="1" customWidth="1"/>
    <col min="14867" max="14867" width="37.44140625" style="1" customWidth="1"/>
    <col min="14868" max="14868" width="0" style="1" hidden="1" customWidth="1"/>
    <col min="14869" max="14869" width="27" style="1" customWidth="1"/>
    <col min="14870" max="14870" width="16.44140625" style="1" customWidth="1"/>
    <col min="14871" max="14871" width="0" style="1" hidden="1" customWidth="1"/>
    <col min="14872" max="14872" width="15.109375" style="1" customWidth="1"/>
    <col min="14873" max="14873" width="16.44140625" style="1" customWidth="1"/>
    <col min="14874" max="14874" width="16.5546875" style="1" customWidth="1"/>
    <col min="14875" max="14875" width="14.44140625" style="1" customWidth="1"/>
    <col min="14876" max="14876" width="16.5546875" style="1" customWidth="1"/>
    <col min="14877" max="14877" width="15.109375" style="1" customWidth="1"/>
    <col min="14878" max="14889" width="0" style="1" hidden="1" customWidth="1"/>
    <col min="14890" max="14890" width="9.109375" style="1" customWidth="1"/>
    <col min="14891" max="14892" width="0" style="1" hidden="1" customWidth="1"/>
    <col min="14893" max="14893" width="9.109375" style="1" customWidth="1"/>
    <col min="14894" max="14895" width="0" style="1" hidden="1" customWidth="1"/>
    <col min="14896" max="15114" width="9.109375" style="1" customWidth="1"/>
    <col min="15115" max="15115" width="56.109375" style="1" customWidth="1"/>
    <col min="15116" max="15121" width="7.6640625" style="1"/>
    <col min="15122" max="15122" width="20.44140625" style="1" customWidth="1"/>
    <col min="15123" max="15123" width="37.44140625" style="1" customWidth="1"/>
    <col min="15124" max="15124" width="0" style="1" hidden="1" customWidth="1"/>
    <col min="15125" max="15125" width="27" style="1" customWidth="1"/>
    <col min="15126" max="15126" width="16.44140625" style="1" customWidth="1"/>
    <col min="15127" max="15127" width="0" style="1" hidden="1" customWidth="1"/>
    <col min="15128" max="15128" width="15.109375" style="1" customWidth="1"/>
    <col min="15129" max="15129" width="16.44140625" style="1" customWidth="1"/>
    <col min="15130" max="15130" width="16.5546875" style="1" customWidth="1"/>
    <col min="15131" max="15131" width="14.44140625" style="1" customWidth="1"/>
    <col min="15132" max="15132" width="16.5546875" style="1" customWidth="1"/>
    <col min="15133" max="15133" width="15.109375" style="1" customWidth="1"/>
    <col min="15134" max="15145" width="0" style="1" hidden="1" customWidth="1"/>
    <col min="15146" max="15146" width="9.109375" style="1" customWidth="1"/>
    <col min="15147" max="15148" width="0" style="1" hidden="1" customWidth="1"/>
    <col min="15149" max="15149" width="9.109375" style="1" customWidth="1"/>
    <col min="15150" max="15151" width="0" style="1" hidden="1" customWidth="1"/>
    <col min="15152" max="15370" width="9.109375" style="1" customWidth="1"/>
    <col min="15371" max="15371" width="56.109375" style="1" customWidth="1"/>
    <col min="15372" max="15377" width="7.6640625" style="1"/>
    <col min="15378" max="15378" width="20.44140625" style="1" customWidth="1"/>
    <col min="15379" max="15379" width="37.44140625" style="1" customWidth="1"/>
    <col min="15380" max="15380" width="0" style="1" hidden="1" customWidth="1"/>
    <col min="15381" max="15381" width="27" style="1" customWidth="1"/>
    <col min="15382" max="15382" width="16.44140625" style="1" customWidth="1"/>
    <col min="15383" max="15383" width="0" style="1" hidden="1" customWidth="1"/>
    <col min="15384" max="15384" width="15.109375" style="1" customWidth="1"/>
    <col min="15385" max="15385" width="16.44140625" style="1" customWidth="1"/>
    <col min="15386" max="15386" width="16.5546875" style="1" customWidth="1"/>
    <col min="15387" max="15387" width="14.44140625" style="1" customWidth="1"/>
    <col min="15388" max="15388" width="16.5546875" style="1" customWidth="1"/>
    <col min="15389" max="15389" width="15.109375" style="1" customWidth="1"/>
    <col min="15390" max="15401" width="0" style="1" hidden="1" customWidth="1"/>
    <col min="15402" max="15402" width="9.109375" style="1" customWidth="1"/>
    <col min="15403" max="15404" width="0" style="1" hidden="1" customWidth="1"/>
    <col min="15405" max="15405" width="9.109375" style="1" customWidth="1"/>
    <col min="15406" max="15407" width="0" style="1" hidden="1" customWidth="1"/>
    <col min="15408" max="15626" width="9.109375" style="1" customWidth="1"/>
    <col min="15627" max="15627" width="56.109375" style="1" customWidth="1"/>
    <col min="15628" max="15633" width="7.6640625" style="1"/>
    <col min="15634" max="15634" width="20.44140625" style="1" customWidth="1"/>
    <col min="15635" max="15635" width="37.44140625" style="1" customWidth="1"/>
    <col min="15636" max="15636" width="0" style="1" hidden="1" customWidth="1"/>
    <col min="15637" max="15637" width="27" style="1" customWidth="1"/>
    <col min="15638" max="15638" width="16.44140625" style="1" customWidth="1"/>
    <col min="15639" max="15639" width="0" style="1" hidden="1" customWidth="1"/>
    <col min="15640" max="15640" width="15.109375" style="1" customWidth="1"/>
    <col min="15641" max="15641" width="16.44140625" style="1" customWidth="1"/>
    <col min="15642" max="15642" width="16.5546875" style="1" customWidth="1"/>
    <col min="15643" max="15643" width="14.44140625" style="1" customWidth="1"/>
    <col min="15644" max="15644" width="16.5546875" style="1" customWidth="1"/>
    <col min="15645" max="15645" width="15.109375" style="1" customWidth="1"/>
    <col min="15646" max="15657" width="0" style="1" hidden="1" customWidth="1"/>
    <col min="15658" max="15658" width="9.109375" style="1" customWidth="1"/>
    <col min="15659" max="15660" width="0" style="1" hidden="1" customWidth="1"/>
    <col min="15661" max="15661" width="9.109375" style="1" customWidth="1"/>
    <col min="15662" max="15663" width="0" style="1" hidden="1" customWidth="1"/>
    <col min="15664" max="15814" width="9.109375" style="1" customWidth="1"/>
    <col min="15815" max="15815" width="7.5546875" style="1" customWidth="1"/>
    <col min="15816" max="15822" width="9.109375" style="1" hidden="1" customWidth="1"/>
    <col min="15823" max="15823" width="7.77734375" style="1" hidden="1" customWidth="1"/>
    <col min="15824" max="15826" width="9.109375" style="1" hidden="1" customWidth="1"/>
    <col min="15827" max="15827" width="7" style="1" hidden="1" customWidth="1"/>
    <col min="15828" max="15840" width="9.109375" style="1" hidden="1" customWidth="1"/>
    <col min="15841" max="15841" width="74.21875" style="1" hidden="1" customWidth="1"/>
    <col min="15842" max="15851" width="9.109375" style="1" hidden="1" customWidth="1"/>
    <col min="15852" max="15852" width="8.5546875" style="1" hidden="1" customWidth="1"/>
    <col min="15853" max="15868" width="9.109375" style="1" hidden="1" customWidth="1"/>
    <col min="15869" max="15869" width="0.6640625" style="1" hidden="1" customWidth="1"/>
    <col min="15870" max="15881" width="9.109375" style="1" hidden="1" customWidth="1"/>
    <col min="15882" max="15882" width="0.109375" style="1" hidden="1" customWidth="1"/>
    <col min="15883" max="15883" width="56.109375" style="1" hidden="1" customWidth="1"/>
    <col min="15884" max="15889" width="7.6640625" style="1" hidden="1" customWidth="1"/>
    <col min="15890" max="15890" width="20.44140625" style="1" hidden="1" customWidth="1"/>
    <col min="15891" max="15891" width="2.33203125" style="1" hidden="1" customWidth="1"/>
    <col min="15892" max="15892" width="0" style="1" hidden="1" customWidth="1"/>
    <col min="15893" max="15893" width="27" style="1" hidden="1" customWidth="1"/>
    <col min="15894" max="15894" width="16.44140625" style="1" hidden="1" customWidth="1"/>
    <col min="15895" max="15895" width="0" style="1" hidden="1" customWidth="1"/>
    <col min="15896" max="15896" width="15.109375" style="1" hidden="1" customWidth="1"/>
    <col min="15897" max="15897" width="16.44140625" style="1" hidden="1" customWidth="1"/>
    <col min="15898" max="15899" width="14.44140625" style="1" hidden="1" customWidth="1"/>
    <col min="15900" max="15900" width="16.5546875" style="1" hidden="1" customWidth="1"/>
    <col min="15901" max="15901" width="15.109375" style="1" hidden="1" customWidth="1"/>
    <col min="15902" max="15913" width="0" style="1" hidden="1" customWidth="1"/>
    <col min="15914" max="15914" width="1.109375" style="1" hidden="1" customWidth="1"/>
    <col min="15915" max="15916" width="0" style="1" hidden="1" customWidth="1"/>
    <col min="15917" max="15917" width="9.109375" style="1" hidden="1" customWidth="1"/>
    <col min="15918" max="15919" width="0" style="1" hidden="1" customWidth="1"/>
    <col min="15920" max="15923" width="9.109375" style="1" hidden="1" customWidth="1"/>
    <col min="15924" max="15924" width="7.77734375" style="1" hidden="1" customWidth="1"/>
    <col min="15925" max="15940" width="9.109375" style="1" hidden="1" customWidth="1"/>
    <col min="15941" max="15941" width="8.44140625" style="1" hidden="1" customWidth="1"/>
    <col min="15942" max="15955" width="9.109375" style="1" hidden="1" customWidth="1"/>
    <col min="15956" max="15956" width="2.109375" style="1" hidden="1" customWidth="1"/>
    <col min="15957" max="15969" width="9.109375" style="1" hidden="1" customWidth="1"/>
    <col min="15970" max="15970" width="8.21875" style="1" hidden="1" customWidth="1"/>
    <col min="15971" max="15973" width="9.109375" style="1" hidden="1" customWidth="1"/>
    <col min="15974" max="15974" width="0.21875" style="1" hidden="1" customWidth="1"/>
    <col min="15975" max="15988" width="9.109375" style="1" hidden="1" customWidth="1"/>
    <col min="15989" max="15989" width="5.6640625" style="1" hidden="1" customWidth="1"/>
    <col min="15990" max="15999" width="9.109375" style="1" hidden="1" customWidth="1"/>
    <col min="16000" max="16000" width="1.109375" style="1" hidden="1" customWidth="1"/>
    <col min="16001" max="16012" width="9.109375" style="1" hidden="1" customWidth="1"/>
    <col min="16013" max="16013" width="2.88671875" style="1" hidden="1" customWidth="1"/>
    <col min="16014" max="16027" width="9.109375" style="1" hidden="1" customWidth="1"/>
    <col min="16028" max="16028" width="8.5546875" style="1" hidden="1" customWidth="1"/>
    <col min="16029" max="16031" width="9.109375" style="1" hidden="1" customWidth="1"/>
    <col min="16032" max="16032" width="3.6640625" style="1" hidden="1" customWidth="1"/>
    <col min="16033" max="16044" width="9.109375" style="1" hidden="1" customWidth="1"/>
    <col min="16045" max="16045" width="2.77734375" style="1" hidden="1" customWidth="1"/>
    <col min="16046" max="16056" width="9.109375" style="1" hidden="1" customWidth="1"/>
    <col min="16057" max="16057" width="7.77734375" style="1" hidden="1" customWidth="1"/>
    <col min="16058" max="16067" width="9.109375" style="1" hidden="1" customWidth="1"/>
    <col min="16068" max="16068" width="1.6640625" style="1" hidden="1" customWidth="1"/>
    <col min="16069" max="16079" width="9.109375" style="1" hidden="1" customWidth="1"/>
    <col min="16080" max="16080" width="0.77734375" style="1" hidden="1" customWidth="1"/>
    <col min="16081" max="16085" width="9.109375" style="1" hidden="1" customWidth="1"/>
    <col min="16086" max="16086" width="8.6640625" style="1" hidden="1" customWidth="1"/>
    <col min="16087" max="16093" width="9.109375" style="1" hidden="1" customWidth="1"/>
    <col min="16094" max="16094" width="0.109375" style="1" hidden="1" customWidth="1"/>
    <col min="16095" max="16107" width="9.109375" style="1" hidden="1" customWidth="1"/>
    <col min="16108" max="16108" width="1.44140625" style="1" hidden="1" customWidth="1"/>
    <col min="16109" max="16115" width="9.109375" style="1" hidden="1" customWidth="1"/>
    <col min="16116" max="16116" width="0.77734375" style="1" hidden="1" customWidth="1"/>
    <col min="16117" max="16121" width="9.109375" style="1" hidden="1" customWidth="1"/>
    <col min="16122" max="16122" width="7.88671875" style="1" hidden="1" customWidth="1"/>
    <col min="16123" max="16129" width="9.109375" style="1" hidden="1" customWidth="1"/>
    <col min="16130" max="16130" width="1.88671875" style="1" hidden="1" customWidth="1"/>
    <col min="16131" max="16137" width="9.109375" style="1" hidden="1" customWidth="1"/>
    <col min="16138" max="16138" width="9.44140625" style="1" hidden="1" customWidth="1"/>
    <col min="16139" max="16139" width="55.109375" style="1" hidden="1" customWidth="1"/>
    <col min="16140" max="16142" width="7.6640625" style="1" hidden="1" customWidth="1"/>
    <col min="16143" max="16143" width="3.109375" style="1" hidden="1" customWidth="1"/>
    <col min="16144" max="16145" width="7.6640625" style="1" hidden="1" customWidth="1"/>
    <col min="16146" max="16146" width="20.44140625" style="1" hidden="1" customWidth="1"/>
    <col min="16147" max="16147" width="37.44140625" style="1" hidden="1" customWidth="1"/>
    <col min="16148" max="16148" width="0" style="1" hidden="1" customWidth="1"/>
    <col min="16149" max="16149" width="27" style="1" hidden="1" customWidth="1"/>
    <col min="16150" max="16150" width="16.44140625" style="1" hidden="1" customWidth="1"/>
    <col min="16151" max="16151" width="0" style="1" hidden="1" customWidth="1"/>
    <col min="16152" max="16152" width="15.109375" style="1" hidden="1" customWidth="1"/>
    <col min="16153" max="16153" width="16.44140625" style="1" hidden="1" customWidth="1"/>
    <col min="16154" max="16154" width="16.5546875" style="1" hidden="1" customWidth="1"/>
    <col min="16155" max="16155" width="14.44140625" style="1" hidden="1" customWidth="1"/>
    <col min="16156" max="16156" width="16.5546875" style="1" hidden="1" customWidth="1"/>
    <col min="16157" max="16157" width="15.109375" style="1" hidden="1" customWidth="1"/>
    <col min="16158" max="16169" width="0" style="1" hidden="1" customWidth="1"/>
    <col min="16170" max="16170" width="9.109375" style="1" hidden="1" customWidth="1"/>
    <col min="16171" max="16172" width="0" style="1" hidden="1" customWidth="1"/>
    <col min="16173" max="16173" width="9.109375" style="1" hidden="1" customWidth="1"/>
    <col min="16174" max="16175" width="0" style="1" hidden="1" customWidth="1"/>
    <col min="16176" max="16177" width="9.109375" style="1" hidden="1" customWidth="1"/>
    <col min="16178" max="16384" width="9.109375" style="1" customWidth="1"/>
  </cols>
  <sheetData>
    <row r="1" spans="1:54" ht="28.15" customHeight="1" x14ac:dyDescent="0.3">
      <c r="O1" s="278" t="s">
        <v>242</v>
      </c>
      <c r="P1" s="278"/>
      <c r="Q1" s="278"/>
      <c r="R1" s="136"/>
      <c r="S1" s="136"/>
    </row>
    <row r="2" spans="1:54" ht="21.8" customHeight="1" x14ac:dyDescent="0.3">
      <c r="O2" s="278" t="s">
        <v>166</v>
      </c>
      <c r="P2" s="278"/>
      <c r="Q2" s="278"/>
      <c r="R2" s="136"/>
      <c r="S2" s="136"/>
    </row>
    <row r="3" spans="1:54" ht="19.5" customHeight="1" x14ac:dyDescent="0.3">
      <c r="O3" s="278" t="s">
        <v>227</v>
      </c>
      <c r="P3" s="278"/>
      <c r="Q3" s="278"/>
      <c r="R3" s="136"/>
      <c r="S3" s="136"/>
    </row>
    <row r="4" spans="1:54" ht="20.3" customHeight="1" x14ac:dyDescent="0.3">
      <c r="O4" s="3"/>
      <c r="P4" s="3"/>
      <c r="Q4" s="3"/>
      <c r="R4" s="3"/>
      <c r="S4" s="3"/>
    </row>
    <row r="5" spans="1:54" ht="22.95" customHeight="1" x14ac:dyDescent="0.35">
      <c r="A5" s="4"/>
      <c r="B5" s="4"/>
      <c r="C5" s="4"/>
      <c r="D5" s="4"/>
      <c r="H5" s="5"/>
      <c r="I5" s="5"/>
      <c r="J5" s="6"/>
      <c r="K5" s="7"/>
      <c r="N5" s="8"/>
      <c r="O5" s="279" t="s">
        <v>162</v>
      </c>
      <c r="P5" s="280"/>
      <c r="Q5" s="280"/>
      <c r="R5" s="137"/>
      <c r="S5" s="137"/>
    </row>
    <row r="6" spans="1:54" ht="20.3" customHeight="1" x14ac:dyDescent="0.35">
      <c r="A6" s="4"/>
      <c r="B6" s="4"/>
      <c r="C6" s="4"/>
      <c r="D6" s="4"/>
      <c r="L6" s="7"/>
      <c r="N6" s="8"/>
      <c r="O6" s="279" t="s">
        <v>155</v>
      </c>
      <c r="P6" s="280"/>
      <c r="Q6" s="280"/>
      <c r="R6" s="137"/>
      <c r="S6" s="137"/>
    </row>
    <row r="7" spans="1:54" s="73" customFormat="1" ht="20.3" customHeight="1" x14ac:dyDescent="0.35">
      <c r="A7" s="369" t="s">
        <v>0</v>
      </c>
      <c r="B7" s="370"/>
      <c r="C7" s="370"/>
      <c r="D7" s="370"/>
      <c r="E7" s="370"/>
      <c r="F7" s="370"/>
      <c r="G7" s="370"/>
      <c r="H7" s="370"/>
      <c r="I7" s="370"/>
      <c r="J7" s="370"/>
      <c r="K7" s="370"/>
      <c r="L7" s="370"/>
      <c r="M7" s="371"/>
      <c r="N7" s="371"/>
      <c r="O7" s="371"/>
      <c r="P7" s="371"/>
      <c r="Q7" s="371"/>
      <c r="R7" s="138"/>
      <c r="S7" s="138"/>
      <c r="Y7" s="74">
        <f>2541647.2+21464.3</f>
        <v>2563111.5</v>
      </c>
      <c r="Z7" s="75"/>
      <c r="AA7" s="75"/>
      <c r="AB7" s="75"/>
      <c r="AC7" s="75"/>
      <c r="AD7" s="75"/>
    </row>
    <row r="8" spans="1:54" ht="13.95" customHeight="1" x14ac:dyDescent="0.25">
      <c r="B8" s="248"/>
      <c r="C8" s="248"/>
      <c r="D8" s="248"/>
      <c r="E8" s="248"/>
      <c r="F8" s="248"/>
      <c r="G8" s="248"/>
      <c r="H8" s="248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54" ht="18" customHeight="1" x14ac:dyDescent="0.25">
      <c r="A9" s="249" t="s">
        <v>1</v>
      </c>
      <c r="B9" s="251" t="s">
        <v>126</v>
      </c>
      <c r="C9" s="253" t="s">
        <v>2</v>
      </c>
      <c r="D9" s="251" t="s">
        <v>3</v>
      </c>
      <c r="E9" s="255" t="s">
        <v>165</v>
      </c>
      <c r="F9" s="256"/>
      <c r="G9" s="256"/>
      <c r="H9" s="256"/>
      <c r="I9" s="256"/>
      <c r="J9" s="256"/>
      <c r="K9" s="256"/>
      <c r="L9" s="256"/>
      <c r="M9" s="257"/>
      <c r="N9" s="257"/>
      <c r="O9" s="257"/>
      <c r="P9" s="257"/>
      <c r="Q9" s="258"/>
      <c r="R9" s="199">
        <f>O14-O22</f>
        <v>4611599</v>
      </c>
      <c r="S9" s="199">
        <v>4428533.0999999996</v>
      </c>
      <c r="T9" s="79">
        <f>S9-R9</f>
        <v>-183065.90000000037</v>
      </c>
    </row>
    <row r="10" spans="1:54" ht="97.55" customHeight="1" x14ac:dyDescent="0.25">
      <c r="A10" s="250"/>
      <c r="B10" s="252"/>
      <c r="C10" s="254"/>
      <c r="D10" s="252"/>
      <c r="E10" s="139" t="s">
        <v>4</v>
      </c>
      <c r="F10" s="9" t="s">
        <v>5</v>
      </c>
      <c r="G10" s="9" t="s">
        <v>211</v>
      </c>
      <c r="H10" s="9" t="s">
        <v>212</v>
      </c>
      <c r="I10" s="9" t="s">
        <v>6</v>
      </c>
      <c r="J10" s="9" t="s">
        <v>7</v>
      </c>
      <c r="K10" s="9" t="s">
        <v>8</v>
      </c>
      <c r="L10" s="9" t="s">
        <v>181</v>
      </c>
      <c r="M10" s="9" t="s">
        <v>187</v>
      </c>
      <c r="N10" s="9" t="s">
        <v>134</v>
      </c>
      <c r="O10" s="239" t="s">
        <v>135</v>
      </c>
      <c r="P10" s="196" t="s">
        <v>136</v>
      </c>
      <c r="Q10" s="196" t="s">
        <v>137</v>
      </c>
      <c r="R10" s="93" t="s">
        <v>238</v>
      </c>
      <c r="S10" s="94" t="s">
        <v>217</v>
      </c>
      <c r="V10" s="2">
        <f>J15+J16+J19</f>
        <v>2894796.5</v>
      </c>
    </row>
    <row r="11" spans="1:54" ht="15.05" x14ac:dyDescent="0.25">
      <c r="A11" s="10">
        <v>1</v>
      </c>
      <c r="B11" s="10">
        <v>2</v>
      </c>
      <c r="C11" s="10">
        <v>3</v>
      </c>
      <c r="D11" s="10">
        <v>3</v>
      </c>
      <c r="E11" s="139">
        <v>4</v>
      </c>
      <c r="F11" s="9" t="s">
        <v>9</v>
      </c>
      <c r="G11" s="9" t="s">
        <v>9</v>
      </c>
      <c r="H11" s="9" t="s">
        <v>10</v>
      </c>
      <c r="I11" s="9" t="s">
        <v>11</v>
      </c>
      <c r="J11" s="9" t="s">
        <v>12</v>
      </c>
      <c r="K11" s="9" t="s">
        <v>13</v>
      </c>
      <c r="L11" s="9" t="s">
        <v>14</v>
      </c>
      <c r="M11" s="9" t="s">
        <v>124</v>
      </c>
      <c r="N11" s="9" t="s">
        <v>138</v>
      </c>
      <c r="O11" s="9" t="s">
        <v>139</v>
      </c>
      <c r="P11" s="9" t="s">
        <v>140</v>
      </c>
      <c r="Q11" s="9" t="s">
        <v>141</v>
      </c>
      <c r="R11" s="14"/>
      <c r="S11" s="14"/>
      <c r="X11" s="1">
        <v>18</v>
      </c>
      <c r="AZ11" s="2"/>
    </row>
    <row r="12" spans="1:54" ht="15.05" hidden="1" x14ac:dyDescent="0.25">
      <c r="A12" s="11"/>
      <c r="B12" s="12"/>
      <c r="C12" s="12"/>
      <c r="D12" s="12"/>
      <c r="E12" s="13"/>
      <c r="F12" s="14"/>
      <c r="G12" s="15" t="s">
        <v>192</v>
      </c>
      <c r="H12" s="14"/>
      <c r="I12" s="14"/>
      <c r="J12" s="14"/>
      <c r="K12" s="14"/>
      <c r="L12" s="14"/>
      <c r="M12" s="14"/>
      <c r="N12" s="14"/>
      <c r="O12" s="14"/>
      <c r="P12" s="14"/>
      <c r="Q12" s="76"/>
      <c r="R12" s="14"/>
      <c r="S12" s="14"/>
    </row>
    <row r="13" spans="1:54" ht="4.95" hidden="1" customHeight="1" x14ac:dyDescent="0.25">
      <c r="A13" s="11"/>
      <c r="B13" s="12"/>
      <c r="C13" s="12"/>
      <c r="D13" s="12"/>
      <c r="E13" s="13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76"/>
      <c r="R13" s="14"/>
      <c r="S13" s="14"/>
    </row>
    <row r="14" spans="1:54" ht="20.149999999999999" customHeight="1" x14ac:dyDescent="0.25">
      <c r="A14" s="293" t="s">
        <v>15</v>
      </c>
      <c r="B14" s="296" t="s">
        <v>151</v>
      </c>
      <c r="C14" s="298" t="s">
        <v>16</v>
      </c>
      <c r="D14" s="16" t="s">
        <v>4</v>
      </c>
      <c r="E14" s="17">
        <f t="shared" ref="E14:E21" si="0">SUM(F14:Q14)</f>
        <v>41121656.799999997</v>
      </c>
      <c r="F14" s="18">
        <f>SUM(F15:F19)</f>
        <v>0</v>
      </c>
      <c r="G14" s="18">
        <f>SUM(G15:G22)-G20</f>
        <v>1951558.2</v>
      </c>
      <c r="H14" s="18">
        <f>SUM(H15:H22)-H20</f>
        <v>2143978.5</v>
      </c>
      <c r="I14" s="18">
        <f>SUM(I15:I22)-I20</f>
        <v>2063532.1</v>
      </c>
      <c r="J14" s="18">
        <f>SUM(J15:J22)-J20</f>
        <v>2898645.1</v>
      </c>
      <c r="K14" s="18">
        <f>SUM(K15:K22)-K20</f>
        <v>3034771.9</v>
      </c>
      <c r="L14" s="18">
        <f t="shared" ref="L14:Q14" si="1">SUM(L15:L22)-L20</f>
        <v>3970367.0999999987</v>
      </c>
      <c r="M14" s="18">
        <f>SUM(M15:M22)-M20-M18-M21</f>
        <v>5027425.5</v>
      </c>
      <c r="N14" s="18">
        <f>SUM(N15:N22)-N20-N21</f>
        <v>5094166.7</v>
      </c>
      <c r="O14" s="18">
        <f>SUM(O15:O22)-O20</f>
        <v>4616404.9000000004</v>
      </c>
      <c r="P14" s="18">
        <f t="shared" si="1"/>
        <v>5205336</v>
      </c>
      <c r="Q14" s="18">
        <f t="shared" si="1"/>
        <v>5115470.8</v>
      </c>
      <c r="R14" s="92">
        <f>R15+R16+R19+R22</f>
        <v>4447341.6000000006</v>
      </c>
      <c r="S14" s="89">
        <f>S15+S16+S19+S22</f>
        <v>-169063.30000000028</v>
      </c>
      <c r="U14" s="2">
        <f>N23+N345+N415</f>
        <v>5094166.6999999993</v>
      </c>
      <c r="Z14" s="1">
        <v>17</v>
      </c>
      <c r="AB14" s="1">
        <v>19</v>
      </c>
      <c r="AD14" s="1">
        <v>20</v>
      </c>
      <c r="AF14" s="1">
        <v>21</v>
      </c>
      <c r="AH14" s="78">
        <v>22</v>
      </c>
      <c r="AJ14" s="197">
        <v>23</v>
      </c>
      <c r="AK14" s="197"/>
      <c r="AL14" s="197">
        <v>24</v>
      </c>
      <c r="AM14" s="197"/>
      <c r="AN14" s="197">
        <v>25</v>
      </c>
      <c r="AO14" s="197"/>
      <c r="AS14" s="2">
        <f>J16+J19+J15</f>
        <v>2894796.5</v>
      </c>
      <c r="AT14" s="2">
        <f>K16+K19+K15</f>
        <v>3030825.5</v>
      </c>
      <c r="AV14" s="1">
        <v>2016</v>
      </c>
      <c r="AW14" s="1">
        <v>2017</v>
      </c>
      <c r="AZ14" s="2"/>
      <c r="BA14" s="2"/>
      <c r="BB14" s="2"/>
    </row>
    <row r="15" spans="1:54" ht="24.4" customHeight="1" x14ac:dyDescent="0.25">
      <c r="A15" s="294"/>
      <c r="B15" s="267"/>
      <c r="C15" s="263"/>
      <c r="D15" s="19" t="s">
        <v>17</v>
      </c>
      <c r="E15" s="20">
        <f t="shared" si="0"/>
        <v>2831042.7</v>
      </c>
      <c r="F15" s="21">
        <f>F24+F346+F416</f>
        <v>0</v>
      </c>
      <c r="G15" s="21">
        <f t="shared" ref="G15:L15" si="2">G24</f>
        <v>740</v>
      </c>
      <c r="H15" s="21">
        <f>H24</f>
        <v>1419.6</v>
      </c>
      <c r="I15" s="21">
        <f t="shared" si="2"/>
        <v>1587.6</v>
      </c>
      <c r="J15" s="21">
        <f t="shared" si="2"/>
        <v>0</v>
      </c>
      <c r="K15" s="21">
        <f t="shared" si="2"/>
        <v>0</v>
      </c>
      <c r="L15" s="21">
        <f t="shared" si="2"/>
        <v>0</v>
      </c>
      <c r="M15" s="21">
        <f>M24</f>
        <v>0</v>
      </c>
      <c r="N15" s="21">
        <f>N24</f>
        <v>996100.2</v>
      </c>
      <c r="O15" s="21">
        <f>O24</f>
        <v>393927.1</v>
      </c>
      <c r="P15" s="21">
        <f>P24</f>
        <v>974774.50000000012</v>
      </c>
      <c r="Q15" s="21">
        <f>Q24</f>
        <v>462493.70000000007</v>
      </c>
      <c r="R15" s="90">
        <v>393927.1</v>
      </c>
      <c r="S15" s="90">
        <f>R15-O15</f>
        <v>0</v>
      </c>
      <c r="T15" s="79">
        <v>2681147.5</v>
      </c>
      <c r="X15" s="7">
        <f>J15+J16+J19</f>
        <v>2894796.5</v>
      </c>
      <c r="AE15" s="2"/>
      <c r="AF15" s="2"/>
      <c r="AT15" s="77"/>
      <c r="AV15" s="2">
        <f>H15+H16+H19</f>
        <v>2140580.5</v>
      </c>
      <c r="AW15" s="2">
        <f>I15+I16+I19</f>
        <v>2060056</v>
      </c>
    </row>
    <row r="16" spans="1:54" ht="24.4" customHeight="1" x14ac:dyDescent="0.25">
      <c r="A16" s="294"/>
      <c r="B16" s="267"/>
      <c r="C16" s="263"/>
      <c r="D16" s="19" t="s">
        <v>18</v>
      </c>
      <c r="E16" s="20">
        <f t="shared" si="0"/>
        <v>24040600.199999996</v>
      </c>
      <c r="F16" s="21">
        <f>F25+F347+F417</f>
        <v>0</v>
      </c>
      <c r="G16" s="21">
        <f t="shared" ref="G16:P16" si="3">G25+G347+G417</f>
        <v>1123706.8</v>
      </c>
      <c r="H16" s="21">
        <f t="shared" si="3"/>
        <v>1235277.7</v>
      </c>
      <c r="I16" s="21">
        <f t="shared" si="3"/>
        <v>1221163.5999999999</v>
      </c>
      <c r="J16" s="21">
        <f t="shared" si="3"/>
        <v>1824613.7</v>
      </c>
      <c r="K16" s="21">
        <f t="shared" si="3"/>
        <v>1654550.9</v>
      </c>
      <c r="L16" s="21">
        <f t="shared" si="3"/>
        <v>2436667.5999999996</v>
      </c>
      <c r="M16" s="21">
        <f t="shared" si="3"/>
        <v>3526122.2</v>
      </c>
      <c r="N16" s="21">
        <f t="shared" si="3"/>
        <v>2604864.1999999997</v>
      </c>
      <c r="O16" s="21">
        <f t="shared" si="3"/>
        <v>2604556.0000000005</v>
      </c>
      <c r="P16" s="21">
        <f t="shared" si="3"/>
        <v>2713415.4</v>
      </c>
      <c r="Q16" s="21">
        <f>Q25+Q347+Q417</f>
        <v>3095662.0999999996</v>
      </c>
      <c r="R16" s="90">
        <v>2580449</v>
      </c>
      <c r="S16" s="90">
        <f>R16-O16</f>
        <v>-24107.000000000466</v>
      </c>
      <c r="T16" s="2">
        <f>Q15+Q16</f>
        <v>3558155.8</v>
      </c>
      <c r="U16" s="2">
        <f>T15-T16</f>
        <v>-877008.29999999981</v>
      </c>
      <c r="Z16" s="2">
        <f>I16+I19+I20+I15</f>
        <v>2060056</v>
      </c>
      <c r="AB16" s="7">
        <f>K16+K19+K20+K15</f>
        <v>3030825.5</v>
      </c>
      <c r="AC16" s="78"/>
      <c r="AD16" s="7">
        <f>SUM(L15:L19)</f>
        <v>3966159.5999999987</v>
      </c>
      <c r="AF16" s="7">
        <f>M15+M16+M19</f>
        <v>5023061.9000000004</v>
      </c>
      <c r="AH16" s="7">
        <f>N16+N19+N15</f>
        <v>5089333.5</v>
      </c>
      <c r="AJ16" s="7">
        <f>O16+O19+O15</f>
        <v>4611599</v>
      </c>
      <c r="AL16" s="7">
        <f>P16+P19+P15</f>
        <v>5201574.5999999996</v>
      </c>
      <c r="AN16" s="7">
        <f>Q16+Q19+Q15</f>
        <v>5111547</v>
      </c>
      <c r="AZ16" s="2"/>
    </row>
    <row r="17" spans="1:52" ht="48.45" hidden="1" customHeight="1" x14ac:dyDescent="0.25">
      <c r="A17" s="294"/>
      <c r="B17" s="267"/>
      <c r="C17" s="263"/>
      <c r="D17" s="19" t="s">
        <v>184</v>
      </c>
      <c r="E17" s="20">
        <f t="shared" si="0"/>
        <v>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90"/>
      <c r="S17" s="90"/>
      <c r="T17" s="2"/>
      <c r="U17" s="2"/>
      <c r="Z17" s="2"/>
      <c r="AB17" s="7"/>
      <c r="AC17" s="78"/>
      <c r="AD17" s="7"/>
      <c r="AF17" s="7"/>
      <c r="AH17" s="7"/>
      <c r="AJ17" s="7"/>
      <c r="AL17" s="7"/>
      <c r="AN17" s="7"/>
    </row>
    <row r="18" spans="1:52" ht="48.45" customHeight="1" x14ac:dyDescent="0.25">
      <c r="A18" s="294"/>
      <c r="B18" s="267"/>
      <c r="C18" s="263"/>
      <c r="D18" s="19" t="s">
        <v>184</v>
      </c>
      <c r="E18" s="20">
        <f t="shared" si="0"/>
        <v>302329.59999999998</v>
      </c>
      <c r="F18" s="21"/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f>M27</f>
        <v>302329.59999999998</v>
      </c>
      <c r="N18" s="21">
        <v>0</v>
      </c>
      <c r="O18" s="21">
        <v>0</v>
      </c>
      <c r="P18" s="21">
        <v>0</v>
      </c>
      <c r="Q18" s="21">
        <v>0</v>
      </c>
      <c r="R18" s="90"/>
      <c r="S18" s="90"/>
      <c r="T18" s="2"/>
      <c r="U18" s="2"/>
      <c r="Z18" s="2"/>
      <c r="AB18" s="7"/>
      <c r="AC18" s="78"/>
      <c r="AD18" s="7"/>
      <c r="AF18" s="7"/>
      <c r="AH18" s="7"/>
      <c r="AJ18" s="7"/>
      <c r="AL18" s="7"/>
      <c r="AN18" s="7"/>
    </row>
    <row r="19" spans="1:52" ht="23.9" customHeight="1" x14ac:dyDescent="0.25">
      <c r="A19" s="294"/>
      <c r="B19" s="267"/>
      <c r="C19" s="263"/>
      <c r="D19" s="19" t="s">
        <v>19</v>
      </c>
      <c r="E19" s="20">
        <f t="shared" si="0"/>
        <v>14206792.099999998</v>
      </c>
      <c r="F19" s="21">
        <f t="shared" ref="F19:Q19" si="4">F28+F348+F418</f>
        <v>0</v>
      </c>
      <c r="G19" s="21">
        <f t="shared" si="4"/>
        <v>824454.09999999986</v>
      </c>
      <c r="H19" s="21">
        <f t="shared" si="4"/>
        <v>903883.2</v>
      </c>
      <c r="I19" s="21">
        <f t="shared" si="4"/>
        <v>837304.79999999993</v>
      </c>
      <c r="J19" s="21">
        <f t="shared" si="4"/>
        <v>1070182.8</v>
      </c>
      <c r="K19" s="21">
        <f t="shared" si="4"/>
        <v>1376274.6000000003</v>
      </c>
      <c r="L19" s="21">
        <f t="shared" si="4"/>
        <v>1529491.9999999993</v>
      </c>
      <c r="M19" s="21">
        <f t="shared" si="4"/>
        <v>1496939.7000000002</v>
      </c>
      <c r="N19" s="21">
        <f t="shared" si="4"/>
        <v>1488369.1000000003</v>
      </c>
      <c r="O19" s="21">
        <f t="shared" si="4"/>
        <v>1613115.9</v>
      </c>
      <c r="P19" s="21">
        <f t="shared" si="4"/>
        <v>1513384.6999999997</v>
      </c>
      <c r="Q19" s="21">
        <f t="shared" si="4"/>
        <v>1553391.2</v>
      </c>
      <c r="R19" s="90">
        <f>1468159.6</f>
        <v>1468159.6</v>
      </c>
      <c r="S19" s="90">
        <f>R19-O19</f>
        <v>-144956.29999999981</v>
      </c>
      <c r="T19" s="2">
        <v>1497639.5</v>
      </c>
      <c r="U19" s="2"/>
      <c r="AS19" s="79"/>
      <c r="AZ19" s="2"/>
    </row>
    <row r="20" spans="1:52" ht="77.25" customHeight="1" x14ac:dyDescent="0.25">
      <c r="A20" s="294"/>
      <c r="B20" s="267"/>
      <c r="C20" s="263"/>
      <c r="D20" s="19" t="s">
        <v>20</v>
      </c>
      <c r="E20" s="20">
        <f t="shared" si="0"/>
        <v>43789.9</v>
      </c>
      <c r="F20" s="21"/>
      <c r="G20" s="21">
        <f t="shared" ref="G20:Q20" si="5">G29+G419</f>
        <v>43789.9</v>
      </c>
      <c r="H20" s="21">
        <f t="shared" si="5"/>
        <v>0</v>
      </c>
      <c r="I20" s="21">
        <f t="shared" si="5"/>
        <v>0</v>
      </c>
      <c r="J20" s="21">
        <f t="shared" si="5"/>
        <v>0</v>
      </c>
      <c r="K20" s="21">
        <f t="shared" si="5"/>
        <v>0</v>
      </c>
      <c r="L20" s="21">
        <f t="shared" si="5"/>
        <v>0</v>
      </c>
      <c r="M20" s="21">
        <f t="shared" si="5"/>
        <v>0</v>
      </c>
      <c r="N20" s="21">
        <f t="shared" si="5"/>
        <v>0</v>
      </c>
      <c r="O20" s="21">
        <f t="shared" si="5"/>
        <v>0</v>
      </c>
      <c r="P20" s="21">
        <f t="shared" si="5"/>
        <v>0</v>
      </c>
      <c r="Q20" s="21">
        <f t="shared" si="5"/>
        <v>0</v>
      </c>
      <c r="R20" s="90"/>
      <c r="S20" s="90"/>
      <c r="T20" s="2"/>
      <c r="U20" s="2"/>
      <c r="Z20" s="2">
        <v>4955.1000000000004</v>
      </c>
      <c r="AC20" s="79"/>
      <c r="AD20" s="79">
        <f>3429892.8+535967+299.7</f>
        <v>3966159.5</v>
      </c>
      <c r="AF20" s="79">
        <f>10104.5+170850.4+110+340.6+4816481.7</f>
        <v>4997887.2</v>
      </c>
      <c r="AG20" s="79"/>
      <c r="AH20" s="79">
        <f>996100.2+2604864.2+1488366.5+2.6</f>
        <v>5089333.5</v>
      </c>
      <c r="AI20" s="79"/>
      <c r="AJ20" s="79">
        <v>4611599</v>
      </c>
      <c r="AL20" s="79">
        <v>5201574.5999999996</v>
      </c>
      <c r="AN20" s="79">
        <v>5111547</v>
      </c>
    </row>
    <row r="21" spans="1:52" ht="58.6" customHeight="1" x14ac:dyDescent="0.25">
      <c r="A21" s="294"/>
      <c r="B21" s="267"/>
      <c r="C21" s="263"/>
      <c r="D21" s="19" t="s">
        <v>184</v>
      </c>
      <c r="E21" s="20">
        <f t="shared" si="0"/>
        <v>28347.8</v>
      </c>
      <c r="F21" s="21"/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f>M30</f>
        <v>28347.8</v>
      </c>
      <c r="N21" s="21">
        <f>N30</f>
        <v>0</v>
      </c>
      <c r="O21" s="21">
        <v>0</v>
      </c>
      <c r="P21" s="21">
        <v>0</v>
      </c>
      <c r="Q21" s="21">
        <v>0</v>
      </c>
      <c r="R21" s="90"/>
      <c r="S21" s="90"/>
      <c r="T21" s="2"/>
      <c r="U21" s="2"/>
      <c r="Z21" s="2"/>
      <c r="AC21" s="79"/>
      <c r="AD21" s="79"/>
      <c r="AF21" s="79"/>
      <c r="AG21" s="79"/>
      <c r="AH21" s="79"/>
      <c r="AI21" s="79"/>
      <c r="AJ21" s="79"/>
      <c r="AL21" s="79" t="s">
        <v>194</v>
      </c>
    </row>
    <row r="22" spans="1:52" ht="33.4" customHeight="1" x14ac:dyDescent="0.25">
      <c r="A22" s="295"/>
      <c r="B22" s="297"/>
      <c r="C22" s="264"/>
      <c r="D22" s="19" t="s">
        <v>21</v>
      </c>
      <c r="E22" s="22">
        <f t="shared" ref="E22:Q22" si="6">E31+E349+E420</f>
        <v>43221.8</v>
      </c>
      <c r="F22" s="22">
        <f t="shared" si="6"/>
        <v>0</v>
      </c>
      <c r="G22" s="22">
        <f t="shared" si="6"/>
        <v>2657.3</v>
      </c>
      <c r="H22" s="22">
        <f t="shared" si="6"/>
        <v>3398</v>
      </c>
      <c r="I22" s="22">
        <f t="shared" si="6"/>
        <v>3476.1</v>
      </c>
      <c r="J22" s="22">
        <f t="shared" si="6"/>
        <v>3848.6</v>
      </c>
      <c r="K22" s="22">
        <f t="shared" si="6"/>
        <v>3946.4</v>
      </c>
      <c r="L22" s="22">
        <f t="shared" si="6"/>
        <v>4207.5</v>
      </c>
      <c r="M22" s="22">
        <f t="shared" si="6"/>
        <v>4363.6000000000004</v>
      </c>
      <c r="N22" s="22">
        <f t="shared" si="6"/>
        <v>4833.2</v>
      </c>
      <c r="O22" s="22">
        <f t="shared" si="6"/>
        <v>4805.8999999999996</v>
      </c>
      <c r="P22" s="22">
        <f t="shared" si="6"/>
        <v>3761.4</v>
      </c>
      <c r="Q22" s="22">
        <f t="shared" si="6"/>
        <v>3923.8</v>
      </c>
      <c r="R22" s="91">
        <v>4805.8999999999996</v>
      </c>
      <c r="S22" s="90">
        <f>R22-O22</f>
        <v>0</v>
      </c>
      <c r="T22" s="2"/>
      <c r="U22" s="2"/>
      <c r="AD22" s="79">
        <f>AD20-AD16</f>
        <v>-9.9999998696148396E-2</v>
      </c>
      <c r="AL22" s="79"/>
      <c r="AZ22" s="2"/>
    </row>
    <row r="23" spans="1:52" ht="24.05" customHeight="1" x14ac:dyDescent="0.25">
      <c r="A23" s="293" t="s">
        <v>22</v>
      </c>
      <c r="B23" s="296" t="s">
        <v>23</v>
      </c>
      <c r="C23" s="298" t="s">
        <v>16</v>
      </c>
      <c r="D23" s="16" t="s">
        <v>4</v>
      </c>
      <c r="E23" s="17">
        <f t="shared" ref="E23:E28" si="7">SUM(F23:Q23)</f>
        <v>39104343.599999994</v>
      </c>
      <c r="F23" s="18">
        <f>SUM(F24:F28)</f>
        <v>0</v>
      </c>
      <c r="G23" s="18">
        <f t="shared" ref="G23:Q23" si="8">SUM(G24:G31)-G29</f>
        <v>1818287.8</v>
      </c>
      <c r="H23" s="18">
        <f t="shared" si="8"/>
        <v>2004414.6</v>
      </c>
      <c r="I23" s="18">
        <f t="shared" si="8"/>
        <v>1919884</v>
      </c>
      <c r="J23" s="18">
        <f t="shared" si="8"/>
        <v>2750007.8000000003</v>
      </c>
      <c r="K23" s="18">
        <f>SUM(K24:K31)-K29</f>
        <v>2873059.5000000005</v>
      </c>
      <c r="L23" s="18">
        <f>SUM(L24:L31)-L29</f>
        <v>3800792.0999999992</v>
      </c>
      <c r="M23" s="18">
        <f>M25+M28+M31</f>
        <v>4824581.0999999996</v>
      </c>
      <c r="N23" s="18">
        <f>N25+N28+N31+N24</f>
        <v>4890116</v>
      </c>
      <c r="O23" s="18">
        <f>O25+O28+O31+O24</f>
        <v>4387654.1000000006</v>
      </c>
      <c r="P23" s="18">
        <f>P25+P28+P31+P24</f>
        <v>4966338.3</v>
      </c>
      <c r="Q23" s="18">
        <f t="shared" si="8"/>
        <v>4869208.3</v>
      </c>
      <c r="R23" s="86"/>
      <c r="S23" s="86"/>
      <c r="T23" s="2">
        <v>4907848.5999999996</v>
      </c>
      <c r="U23" s="2"/>
      <c r="Z23" s="2">
        <f>Z16+Z20</f>
        <v>2065011.1</v>
      </c>
      <c r="AF23" s="79">
        <f>AF16-AF20</f>
        <v>25174.700000000186</v>
      </c>
      <c r="AH23" s="79">
        <f>AH20-AH16</f>
        <v>0</v>
      </c>
      <c r="AJ23" s="198">
        <f>AJ16-AJ20</f>
        <v>0</v>
      </c>
      <c r="AK23" s="78"/>
      <c r="AL23" s="84">
        <f>AL16-AL20</f>
        <v>0</v>
      </c>
      <c r="AM23" s="78"/>
      <c r="AN23" s="84">
        <f>AN16-AN20</f>
        <v>0</v>
      </c>
      <c r="AZ23" s="2"/>
    </row>
    <row r="24" spans="1:52" ht="30.45" customHeight="1" x14ac:dyDescent="0.25">
      <c r="A24" s="294"/>
      <c r="B24" s="267"/>
      <c r="C24" s="263"/>
      <c r="D24" s="19" t="s">
        <v>17</v>
      </c>
      <c r="E24" s="20">
        <f t="shared" si="7"/>
        <v>2831042.7</v>
      </c>
      <c r="F24" s="21">
        <f>F39+F44+F49+F54+F59+F64+F69+F75+F80+F85+F90+F203</f>
        <v>0</v>
      </c>
      <c r="G24" s="21">
        <f>G39+G44+G49+G54+G59+G64+G69+G75+G80+G85+G90+G203+G221+G226</f>
        <v>740</v>
      </c>
      <c r="H24" s="21">
        <f t="shared" ref="H24:J25" si="9">H33+H176</f>
        <v>1419.6</v>
      </c>
      <c r="I24" s="21">
        <f t="shared" si="9"/>
        <v>1587.6</v>
      </c>
      <c r="J24" s="21">
        <f t="shared" si="9"/>
        <v>0</v>
      </c>
      <c r="K24" s="21">
        <f>K39+K44+K49+K54+K59+K64+K69+K75+K80+K85+K90+K203+K221+K226</f>
        <v>0</v>
      </c>
      <c r="L24" s="21">
        <f>L39+L44+L49+L54+L59+L64+L69+L75+L80+L85+L90+L203+L221+L226</f>
        <v>0</v>
      </c>
      <c r="M24" s="21">
        <f>M39+M44+M49+M54+M59+M64+M69+M75+M80+M85+M90+M203+M221+M226</f>
        <v>0</v>
      </c>
      <c r="N24" s="21">
        <f>N33+N176+N297+N312</f>
        <v>996100.2</v>
      </c>
      <c r="O24" s="21">
        <f t="shared" ref="O24:Q25" si="10">O33+O176+O297+O312+O336</f>
        <v>393927.1</v>
      </c>
      <c r="P24" s="21">
        <f t="shared" si="10"/>
        <v>974774.50000000012</v>
      </c>
      <c r="Q24" s="21">
        <f t="shared" si="10"/>
        <v>462493.70000000007</v>
      </c>
      <c r="R24" s="38"/>
      <c r="S24" s="38"/>
      <c r="T24" s="2"/>
      <c r="U24" s="2"/>
      <c r="AZ24" s="2"/>
    </row>
    <row r="25" spans="1:52" ht="23.9" customHeight="1" x14ac:dyDescent="0.25">
      <c r="A25" s="294"/>
      <c r="B25" s="267"/>
      <c r="C25" s="263"/>
      <c r="D25" s="19" t="s">
        <v>18</v>
      </c>
      <c r="E25" s="20">
        <f t="shared" si="7"/>
        <v>23198186</v>
      </c>
      <c r="F25" s="21">
        <f>F40+F45+F50+F55+F60+F65+F70+F76+F81+F86+F91+F204</f>
        <v>0</v>
      </c>
      <c r="G25" s="21">
        <f>G40+G45+G50+G55+G60+G65+G70+G76+G81+G86+G91+G204+G222+G227</f>
        <v>1058723.3</v>
      </c>
      <c r="H25" s="21">
        <f t="shared" si="9"/>
        <v>1169846.3999999999</v>
      </c>
      <c r="I25" s="21">
        <f t="shared" si="9"/>
        <v>1154150.2</v>
      </c>
      <c r="J25" s="21">
        <f t="shared" si="9"/>
        <v>1756126.9</v>
      </c>
      <c r="K25" s="21">
        <f>K34+K177+K298</f>
        <v>1584712.5</v>
      </c>
      <c r="L25" s="21">
        <f>L34+L177+L298+L313</f>
        <v>2369427.7999999998</v>
      </c>
      <c r="M25" s="21">
        <f>M34+M177+M298+M313</f>
        <v>3446023.2</v>
      </c>
      <c r="N25" s="21">
        <f>N34+N177+N298+N313</f>
        <v>2522540.0999999996</v>
      </c>
      <c r="O25" s="21">
        <f t="shared" si="10"/>
        <v>2516487.3000000003</v>
      </c>
      <c r="P25" s="21">
        <f t="shared" si="10"/>
        <v>2618988.1</v>
      </c>
      <c r="Q25" s="21">
        <f>Q34+Q177+Q298+Q313+Q337</f>
        <v>3001160.1999999997</v>
      </c>
      <c r="R25" s="38"/>
      <c r="S25" s="38"/>
      <c r="T25" s="2">
        <v>3535437.2</v>
      </c>
      <c r="U25" s="2"/>
      <c r="AZ25" s="2"/>
    </row>
    <row r="26" spans="1:52" ht="1.35" hidden="1" customHeight="1" x14ac:dyDescent="0.25">
      <c r="A26" s="294"/>
      <c r="B26" s="267"/>
      <c r="C26" s="263"/>
      <c r="D26" s="19" t="s">
        <v>184</v>
      </c>
      <c r="E26" s="20">
        <f t="shared" si="7"/>
        <v>0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38"/>
      <c r="S26" s="38"/>
      <c r="T26" s="2"/>
      <c r="U26" s="2"/>
    </row>
    <row r="27" spans="1:52" ht="56.95" customHeight="1" x14ac:dyDescent="0.25">
      <c r="A27" s="294"/>
      <c r="B27" s="267"/>
      <c r="C27" s="263"/>
      <c r="D27" s="19" t="s">
        <v>184</v>
      </c>
      <c r="E27" s="20">
        <f t="shared" si="7"/>
        <v>302329.59999999998</v>
      </c>
      <c r="F27" s="21"/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f>M314</f>
        <v>302329.59999999998</v>
      </c>
      <c r="N27" s="21">
        <v>0</v>
      </c>
      <c r="O27" s="21">
        <v>0</v>
      </c>
      <c r="P27" s="21">
        <v>0</v>
      </c>
      <c r="Q27" s="21">
        <v>0</v>
      </c>
      <c r="R27" s="38"/>
      <c r="S27" s="38"/>
      <c r="T27" s="2"/>
      <c r="U27" s="2"/>
    </row>
    <row r="28" spans="1:52" ht="26.2" customHeight="1" x14ac:dyDescent="0.25">
      <c r="A28" s="294"/>
      <c r="B28" s="267"/>
      <c r="C28" s="263"/>
      <c r="D28" s="19" t="s">
        <v>19</v>
      </c>
      <c r="E28" s="20">
        <f t="shared" si="7"/>
        <v>13031893.1</v>
      </c>
      <c r="F28" s="21">
        <f>F41+F46+F51+F56+F61+F66+F71+F77+F82+F87+F92+F205</f>
        <v>0</v>
      </c>
      <c r="G28" s="21">
        <f>G41+G46+G51+G56+G61+G66+G71+G77+G82+G87+G92+G205+G223+G228+G211+G217</f>
        <v>756167.19999999984</v>
      </c>
      <c r="H28" s="21">
        <f>H41+H46+H51+H56+H61+H66+H71+H77+H82+H87+H92+H205+H223+H228+H195+H243</f>
        <v>829750.6</v>
      </c>
      <c r="I28" s="21">
        <f>I41+I46+I51+I56+I61+I66+I71+I77+I82+I87+I92+I205+I223+I228+I195+I243+I238+I233</f>
        <v>760670.09999999986</v>
      </c>
      <c r="J28" s="21">
        <f>J35+J178</f>
        <v>990032.3</v>
      </c>
      <c r="K28" s="21">
        <f>K35+K178+K294</f>
        <v>1284400.6000000003</v>
      </c>
      <c r="L28" s="21">
        <f t="shared" ref="L28:Q28" si="11">L35+L178+L294+L301+L315</f>
        <v>1427156.7999999993</v>
      </c>
      <c r="M28" s="21">
        <f t="shared" si="11"/>
        <v>1374194.3</v>
      </c>
      <c r="N28" s="21">
        <f t="shared" si="11"/>
        <v>1366642.5000000002</v>
      </c>
      <c r="O28" s="21">
        <f t="shared" si="11"/>
        <v>1472433.8</v>
      </c>
      <c r="P28" s="21">
        <f t="shared" si="11"/>
        <v>1368814.2999999998</v>
      </c>
      <c r="Q28" s="21">
        <f t="shared" si="11"/>
        <v>1401630.5999999999</v>
      </c>
      <c r="R28" s="38"/>
      <c r="S28" s="38"/>
      <c r="T28" s="2">
        <v>1368047.8</v>
      </c>
      <c r="U28" s="2"/>
      <c r="AZ28" s="2"/>
    </row>
    <row r="29" spans="1:52" ht="76.099999999999994" customHeight="1" x14ac:dyDescent="0.25">
      <c r="A29" s="294"/>
      <c r="B29" s="267"/>
      <c r="C29" s="263"/>
      <c r="D29" s="19" t="s">
        <v>20</v>
      </c>
      <c r="E29" s="20">
        <f>SUM(G29:Q29)</f>
        <v>43751.3</v>
      </c>
      <c r="F29" s="21"/>
      <c r="G29" s="21">
        <f>G72+G206+G218</f>
        <v>43751.3</v>
      </c>
      <c r="H29" s="21">
        <f t="shared" ref="H29:Q29" si="12">H72+H206</f>
        <v>0</v>
      </c>
      <c r="I29" s="21">
        <f t="shared" si="12"/>
        <v>0</v>
      </c>
      <c r="J29" s="21">
        <f t="shared" si="12"/>
        <v>0</v>
      </c>
      <c r="K29" s="21">
        <f t="shared" si="12"/>
        <v>0</v>
      </c>
      <c r="L29" s="21">
        <f t="shared" si="12"/>
        <v>0</v>
      </c>
      <c r="M29" s="21">
        <f t="shared" si="12"/>
        <v>0</v>
      </c>
      <c r="N29" s="21">
        <f t="shared" si="12"/>
        <v>0</v>
      </c>
      <c r="O29" s="21">
        <f t="shared" si="12"/>
        <v>0</v>
      </c>
      <c r="P29" s="21">
        <f t="shared" si="12"/>
        <v>0</v>
      </c>
      <c r="Q29" s="21">
        <f t="shared" si="12"/>
        <v>0</v>
      </c>
      <c r="R29" s="38"/>
      <c r="S29" s="38"/>
      <c r="T29" s="2"/>
      <c r="U29" s="2"/>
    </row>
    <row r="30" spans="1:52" ht="56.3" customHeight="1" x14ac:dyDescent="0.25">
      <c r="A30" s="294"/>
      <c r="B30" s="267"/>
      <c r="C30" s="263"/>
      <c r="D30" s="19" t="s">
        <v>184</v>
      </c>
      <c r="E30" s="20">
        <f>SUM(F30:Q30)</f>
        <v>28347.8</v>
      </c>
      <c r="F30" s="21"/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f>M316+M180</f>
        <v>28347.8</v>
      </c>
      <c r="N30" s="21">
        <f>N180</f>
        <v>0</v>
      </c>
      <c r="O30" s="21">
        <v>0</v>
      </c>
      <c r="P30" s="21">
        <v>0</v>
      </c>
      <c r="Q30" s="21">
        <v>0</v>
      </c>
      <c r="R30" s="38"/>
      <c r="S30" s="38"/>
      <c r="T30" s="2"/>
      <c r="U30" s="2"/>
    </row>
    <row r="31" spans="1:52" ht="32.1" customHeight="1" x14ac:dyDescent="0.25">
      <c r="A31" s="267"/>
      <c r="B31" s="267"/>
      <c r="C31" s="264"/>
      <c r="D31" s="19" t="s">
        <v>21</v>
      </c>
      <c r="E31" s="20">
        <f t="shared" ref="E31:E41" si="13">SUM(F31:Q31)</f>
        <v>43221.8</v>
      </c>
      <c r="F31" s="20">
        <f>F42+F47+F52+F57+F62+F67+F78+F83+F88+F93+F207</f>
        <v>0</v>
      </c>
      <c r="G31" s="20">
        <f t="shared" ref="G31:Q31" si="14">G42+G47+G52+G57+G62+G67+G78+G83+G88+G93+G207+G73</f>
        <v>2657.3</v>
      </c>
      <c r="H31" s="20">
        <f t="shared" si="14"/>
        <v>3398</v>
      </c>
      <c r="I31" s="20">
        <f t="shared" si="14"/>
        <v>3476.1</v>
      </c>
      <c r="J31" s="20">
        <f t="shared" si="14"/>
        <v>3848.6</v>
      </c>
      <c r="K31" s="20">
        <f t="shared" si="14"/>
        <v>3946.4</v>
      </c>
      <c r="L31" s="20">
        <f t="shared" si="14"/>
        <v>4207.5</v>
      </c>
      <c r="M31" s="20">
        <f t="shared" si="14"/>
        <v>4363.6000000000004</v>
      </c>
      <c r="N31" s="20">
        <f t="shared" si="14"/>
        <v>4833.2</v>
      </c>
      <c r="O31" s="20">
        <f t="shared" si="14"/>
        <v>4805.8999999999996</v>
      </c>
      <c r="P31" s="20">
        <f t="shared" si="14"/>
        <v>3761.4</v>
      </c>
      <c r="Q31" s="20">
        <f t="shared" si="14"/>
        <v>3923.8</v>
      </c>
      <c r="R31" s="37"/>
      <c r="S31" s="37"/>
      <c r="T31" s="2"/>
      <c r="U31" s="2"/>
      <c r="AZ31" s="2"/>
    </row>
    <row r="32" spans="1:52" ht="20.149999999999999" customHeight="1" x14ac:dyDescent="0.25">
      <c r="A32" s="281" t="s">
        <v>24</v>
      </c>
      <c r="B32" s="283" t="s">
        <v>25</v>
      </c>
      <c r="C32" s="32"/>
      <c r="D32" s="16" t="s">
        <v>4</v>
      </c>
      <c r="E32" s="17">
        <f t="shared" si="13"/>
        <v>33257219.299999993</v>
      </c>
      <c r="F32" s="17"/>
      <c r="G32" s="17">
        <f t="shared" ref="G32:M35" si="15">G38+G48+G58+G68+G79+G84+G89</f>
        <v>1703227.2999999998</v>
      </c>
      <c r="H32" s="17">
        <f t="shared" si="15"/>
        <v>1772150.5</v>
      </c>
      <c r="I32" s="17">
        <f t="shared" si="15"/>
        <v>1872604.2</v>
      </c>
      <c r="J32" s="17">
        <f>J38+J48+J58+J68+J79+J84+J89+J94</f>
        <v>2185985.7000000002</v>
      </c>
      <c r="K32" s="17">
        <f>K34+K35+K37</f>
        <v>2599799</v>
      </c>
      <c r="L32" s="17">
        <f>L34+L35+L37</f>
        <v>3098939.6999999993</v>
      </c>
      <c r="M32" s="17">
        <f>M34+M35+M37</f>
        <v>3564446.4</v>
      </c>
      <c r="N32" s="17">
        <f>N34+N35+N37+N33</f>
        <v>3765695.5</v>
      </c>
      <c r="O32" s="17">
        <f>O34+O35+O37+O33</f>
        <v>4104383.4</v>
      </c>
      <c r="P32" s="17">
        <f>P34+P35+P37+P33</f>
        <v>4232836.7</v>
      </c>
      <c r="Q32" s="17">
        <f>Q34+Q35+Q37+Q33</f>
        <v>4357150.8999999994</v>
      </c>
      <c r="R32" s="87"/>
      <c r="S32" s="87"/>
      <c r="T32" s="80">
        <v>3541354.8</v>
      </c>
      <c r="U32" s="80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80"/>
    </row>
    <row r="33" spans="1:60" ht="28.15" customHeight="1" x14ac:dyDescent="0.25">
      <c r="A33" s="282"/>
      <c r="B33" s="284"/>
      <c r="C33" s="194"/>
      <c r="D33" s="19" t="s">
        <v>17</v>
      </c>
      <c r="E33" s="20">
        <f t="shared" si="13"/>
        <v>1138634.8999999999</v>
      </c>
      <c r="F33" s="17"/>
      <c r="G33" s="20">
        <f t="shared" si="15"/>
        <v>0</v>
      </c>
      <c r="H33" s="20">
        <f t="shared" si="15"/>
        <v>0</v>
      </c>
      <c r="I33" s="20">
        <f t="shared" si="15"/>
        <v>0</v>
      </c>
      <c r="J33" s="20">
        <f t="shared" si="15"/>
        <v>0</v>
      </c>
      <c r="K33" s="20">
        <f t="shared" si="15"/>
        <v>0</v>
      </c>
      <c r="L33" s="20">
        <f t="shared" si="15"/>
        <v>0</v>
      </c>
      <c r="M33" s="20">
        <f t="shared" si="15"/>
        <v>0</v>
      </c>
      <c r="N33" s="20">
        <f>N39+N49+N59+N69+N80+N85+N90+N121+N126</f>
        <v>283484.3</v>
      </c>
      <c r="O33" s="20">
        <f>O39+O49+O59+O69+O80+O85+O90+O121+O126+O166+O171</f>
        <v>286296.2</v>
      </c>
      <c r="P33" s="20">
        <f>P39+P49+P59+P69+P80+P85+P90+P121+P126+P166+P171</f>
        <v>286296.2</v>
      </c>
      <c r="Q33" s="20">
        <f>Q39+Q49+Q59+Q69+Q80+Q85+Q90+Q121+Q126+Q166+Q171</f>
        <v>282558.2</v>
      </c>
      <c r="R33" s="37"/>
      <c r="S33" s="37"/>
      <c r="T33" s="80"/>
      <c r="U33" s="80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60" ht="26.2" customHeight="1" x14ac:dyDescent="0.25">
      <c r="A34" s="282"/>
      <c r="B34" s="284"/>
      <c r="C34" s="194"/>
      <c r="D34" s="19" t="s">
        <v>18</v>
      </c>
      <c r="E34" s="20">
        <f t="shared" si="13"/>
        <v>19762693.199999999</v>
      </c>
      <c r="F34" s="17"/>
      <c r="G34" s="20">
        <f t="shared" si="15"/>
        <v>1044880.5</v>
      </c>
      <c r="H34" s="20">
        <f t="shared" si="15"/>
        <v>1074198.7</v>
      </c>
      <c r="I34" s="20">
        <f t="shared" si="15"/>
        <v>1143676</v>
      </c>
      <c r="J34" s="20">
        <f>J40+J50+J60+J70+J81+J86+J91+J96</f>
        <v>1264267.0999999999</v>
      </c>
      <c r="K34" s="20">
        <f>K40+K50+K60+K70+K81+K86+K91+K96+K101</f>
        <v>1422288.2</v>
      </c>
      <c r="L34" s="20">
        <f>L40+L50+L60+L70+L81+L86+L91+L96+L101+L106+L111+L117+L122+L127</f>
        <v>1751542.9</v>
      </c>
      <c r="M34" s="20">
        <f>M40+M50+M60+M70+M81+M86+M91+M96+M101+M106+M111+M117+M122+M127+M137</f>
        <v>2267474.2999999998</v>
      </c>
      <c r="N34" s="20">
        <f>N40+N50+N60+N70+N81+N86+N91+N96+N101+N106+N111+N117+N122+N127+N137+N147+N152+N157+N162</f>
        <v>2141023.2999999998</v>
      </c>
      <c r="O34" s="20">
        <f>O40+O50+O60+O70+O81+O86+O91+O96+O101+O106+O111+O117+O122+O127+O137+O147+O152+O157+O162+O167+O172</f>
        <v>2360341.2000000002</v>
      </c>
      <c r="P34" s="20">
        <f>P40+P50+P60+P70+P81+P86+P91+P96+P101+P106+P111+P117+P122+P127+P137+P147+P152+P157+P162+P167+P172</f>
        <v>2582054.1000000006</v>
      </c>
      <c r="Q34" s="20">
        <f>Q40+Q50+Q60+Q70+Q81+Q86+Q91+Q96+Q101+Q106+Q111+Q117+Q122+Q127+Q137+Q147+Q152+Q157+Q162+Q167+Q172</f>
        <v>2710946.9</v>
      </c>
      <c r="R34" s="37"/>
      <c r="S34" s="37"/>
      <c r="T34" s="80">
        <v>2258118.4</v>
      </c>
      <c r="U34" s="80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80"/>
      <c r="BH34" s="2"/>
    </row>
    <row r="35" spans="1:60" ht="22.95" customHeight="1" x14ac:dyDescent="0.25">
      <c r="A35" s="282"/>
      <c r="B35" s="284"/>
      <c r="C35" s="194"/>
      <c r="D35" s="19" t="s">
        <v>19</v>
      </c>
      <c r="E35" s="20">
        <f>SUM(F35:Q35)</f>
        <v>12312669.4</v>
      </c>
      <c r="F35" s="17"/>
      <c r="G35" s="20">
        <f t="shared" si="15"/>
        <v>655689.49999999988</v>
      </c>
      <c r="H35" s="20">
        <f t="shared" si="15"/>
        <v>694553.79999999993</v>
      </c>
      <c r="I35" s="20">
        <f t="shared" si="15"/>
        <v>725452.1</v>
      </c>
      <c r="J35" s="20">
        <f>J41+J51+J61+J71+J82+J87+J92+J97</f>
        <v>917870</v>
      </c>
      <c r="K35" s="20">
        <f>K41+K51+K61+K71+K82+K87+K92+K97</f>
        <v>1173564.4000000001</v>
      </c>
      <c r="L35" s="20">
        <f>L41+L51+L61+L71+L82+L87+L92+L97+L102+L107+L112+L118+L123+L128+L133</f>
        <v>1343189.2999999993</v>
      </c>
      <c r="M35" s="20">
        <f>M41+M51+M61+M71+M82+M87+M92+M97+M102+M107+M112+M118+M123+M128+M133+M138+M140</f>
        <v>1292608.5</v>
      </c>
      <c r="N35" s="20">
        <f>N41+N51+N61+N71+N82+N87+N92+N97+N102+N107+N112+N118+N123+N128+N133+N138+N153+N158+N163</f>
        <v>1336354.7000000004</v>
      </c>
      <c r="O35" s="20">
        <f>O41+O51+O61+O71+O82+O87+O92+O97+O102+O107+O112+O118+O123+O128+O133+O138+O153+O158+O163+O168+O173</f>
        <v>1452940.0999999999</v>
      </c>
      <c r="P35" s="20">
        <f>P41+P51+P61+P71+P82+P87+P92+P97+P102+P107+P112+P118+P123+P128+P133+P138+P153+P158+P163</f>
        <v>1360724.9999999998</v>
      </c>
      <c r="Q35" s="20">
        <f>Q41+Q51+Q61+Q71+Q82+Q87+Q92+Q97+Q102+Q107+Q112+Q118+Q123+Q128+Q133+Q138+Q153+Q158+Q163</f>
        <v>1359721.9999999998</v>
      </c>
      <c r="R35" s="37"/>
      <c r="S35" s="37"/>
      <c r="T35" s="80">
        <v>1278872.8</v>
      </c>
      <c r="U35" s="80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80"/>
    </row>
    <row r="36" spans="1:60" ht="70.7" customHeight="1" x14ac:dyDescent="0.25">
      <c r="A36" s="24"/>
      <c r="B36" s="285"/>
      <c r="C36" s="195"/>
      <c r="D36" s="19" t="s">
        <v>20</v>
      </c>
      <c r="E36" s="20">
        <f t="shared" si="13"/>
        <v>19657.100000000002</v>
      </c>
      <c r="F36" s="17"/>
      <c r="G36" s="20">
        <f t="shared" ref="G36:Q36" si="16">G72</f>
        <v>19657.100000000002</v>
      </c>
      <c r="H36" s="20">
        <f t="shared" si="16"/>
        <v>0</v>
      </c>
      <c r="I36" s="20">
        <f t="shared" si="16"/>
        <v>0</v>
      </c>
      <c r="J36" s="20">
        <f t="shared" si="16"/>
        <v>0</v>
      </c>
      <c r="K36" s="20">
        <f t="shared" si="16"/>
        <v>0</v>
      </c>
      <c r="L36" s="20">
        <f t="shared" si="16"/>
        <v>0</v>
      </c>
      <c r="M36" s="20">
        <f t="shared" si="16"/>
        <v>0</v>
      </c>
      <c r="N36" s="20">
        <f t="shared" si="16"/>
        <v>0</v>
      </c>
      <c r="O36" s="20">
        <f t="shared" si="16"/>
        <v>0</v>
      </c>
      <c r="P36" s="20">
        <f t="shared" si="16"/>
        <v>0</v>
      </c>
      <c r="Q36" s="20">
        <f t="shared" si="16"/>
        <v>0</v>
      </c>
      <c r="R36" s="37"/>
      <c r="S36" s="37"/>
      <c r="T36" s="80"/>
      <c r="U36" s="80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60" ht="34.549999999999997" customHeight="1" x14ac:dyDescent="0.25">
      <c r="A37" s="24"/>
      <c r="B37" s="140"/>
      <c r="C37" s="115"/>
      <c r="D37" s="25" t="s">
        <v>21</v>
      </c>
      <c r="E37" s="26">
        <f t="shared" si="13"/>
        <v>43221.8</v>
      </c>
      <c r="F37" s="42"/>
      <c r="G37" s="26">
        <f t="shared" ref="G37:Q37" si="17">G42+G52+G62+G73+G83+G88+G93</f>
        <v>2657.3</v>
      </c>
      <c r="H37" s="26">
        <f t="shared" si="17"/>
        <v>3398</v>
      </c>
      <c r="I37" s="26">
        <f t="shared" si="17"/>
        <v>3476.1</v>
      </c>
      <c r="J37" s="26">
        <f t="shared" si="17"/>
        <v>3848.6</v>
      </c>
      <c r="K37" s="26">
        <f t="shared" si="17"/>
        <v>3946.4</v>
      </c>
      <c r="L37" s="26">
        <f t="shared" si="17"/>
        <v>4207.5</v>
      </c>
      <c r="M37" s="26">
        <f t="shared" si="17"/>
        <v>4363.6000000000004</v>
      </c>
      <c r="N37" s="26">
        <f t="shared" si="17"/>
        <v>4833.2</v>
      </c>
      <c r="O37" s="26">
        <f t="shared" si="17"/>
        <v>4805.8999999999996</v>
      </c>
      <c r="P37" s="26">
        <f t="shared" si="17"/>
        <v>3761.4</v>
      </c>
      <c r="Q37" s="26">
        <f t="shared" si="17"/>
        <v>3923.8</v>
      </c>
      <c r="R37" s="88"/>
      <c r="S37" s="88"/>
      <c r="T37" s="81"/>
      <c r="U37" s="81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81"/>
    </row>
    <row r="38" spans="1:60" ht="31.95" customHeight="1" x14ac:dyDescent="0.25">
      <c r="A38" s="286" t="s">
        <v>26</v>
      </c>
      <c r="B38" s="267" t="s">
        <v>27</v>
      </c>
      <c r="C38" s="290" t="s">
        <v>28</v>
      </c>
      <c r="D38" s="25" t="s">
        <v>29</v>
      </c>
      <c r="E38" s="26">
        <f t="shared" si="13"/>
        <v>706591.2</v>
      </c>
      <c r="F38" s="27">
        <f>SUM(F39:F41)</f>
        <v>0</v>
      </c>
      <c r="G38" s="27">
        <f t="shared" ref="G38:L38" si="18">SUM(G39:G41)</f>
        <v>348375.8</v>
      </c>
      <c r="H38" s="27">
        <f t="shared" si="18"/>
        <v>358215.4</v>
      </c>
      <c r="I38" s="27">
        <f t="shared" si="18"/>
        <v>0</v>
      </c>
      <c r="J38" s="27">
        <f t="shared" si="18"/>
        <v>0</v>
      </c>
      <c r="K38" s="27">
        <f t="shared" si="18"/>
        <v>0</v>
      </c>
      <c r="L38" s="27">
        <f t="shared" si="18"/>
        <v>0</v>
      </c>
      <c r="M38" s="27">
        <f>SUM(M39:M41)</f>
        <v>0</v>
      </c>
      <c r="N38" s="27">
        <f>SUM(N39:N41)</f>
        <v>0</v>
      </c>
      <c r="O38" s="27">
        <f>SUM(O39:O41)</f>
        <v>0</v>
      </c>
      <c r="P38" s="27">
        <f>SUM(P39:P41)</f>
        <v>0</v>
      </c>
      <c r="Q38" s="27">
        <f>SUM(Q39:Q41)</f>
        <v>0</v>
      </c>
      <c r="R38" s="38"/>
      <c r="S38" s="38"/>
      <c r="T38" s="2"/>
      <c r="U38" s="2"/>
    </row>
    <row r="39" spans="1:60" ht="29.65" customHeight="1" x14ac:dyDescent="0.25">
      <c r="A39" s="287"/>
      <c r="B39" s="289"/>
      <c r="C39" s="291"/>
      <c r="D39" s="19" t="s">
        <v>17</v>
      </c>
      <c r="E39" s="20">
        <f t="shared" si="13"/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38"/>
      <c r="S39" s="38"/>
      <c r="T39" s="2"/>
      <c r="U39" s="2"/>
      <c r="Z39" s="1">
        <f ca="1">Z39</f>
        <v>0</v>
      </c>
    </row>
    <row r="40" spans="1:60" ht="28.15" customHeight="1" x14ac:dyDescent="0.25">
      <c r="A40" s="287"/>
      <c r="B40" s="289"/>
      <c r="C40" s="291"/>
      <c r="D40" s="19" t="s">
        <v>18</v>
      </c>
      <c r="E40" s="20">
        <f t="shared" si="13"/>
        <v>706591.2</v>
      </c>
      <c r="F40" s="21"/>
      <c r="G40" s="21">
        <f>319403.4+27559.1+1413.3</f>
        <v>348375.8</v>
      </c>
      <c r="H40" s="21">
        <f>363190.7-4975.2-0.1</f>
        <v>358215.4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38"/>
      <c r="S40" s="38"/>
      <c r="T40" s="2"/>
      <c r="U40" s="2"/>
    </row>
    <row r="41" spans="1:60" ht="33.4" customHeight="1" x14ac:dyDescent="0.25">
      <c r="A41" s="287"/>
      <c r="B41" s="289"/>
      <c r="C41" s="291"/>
      <c r="D41" s="19" t="s">
        <v>19</v>
      </c>
      <c r="E41" s="20">
        <f t="shared" si="13"/>
        <v>0</v>
      </c>
      <c r="F41" s="20">
        <f>SUM(G41:L41)</f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37"/>
      <c r="S41" s="37"/>
      <c r="T41" s="2"/>
      <c r="U41" s="2"/>
    </row>
    <row r="42" spans="1:60" ht="34.549999999999997" customHeight="1" x14ac:dyDescent="0.25">
      <c r="A42" s="288"/>
      <c r="B42" s="288"/>
      <c r="C42" s="292"/>
      <c r="D42" s="19" t="s">
        <v>21</v>
      </c>
      <c r="E42" s="20">
        <f>SUM(F42:Q47)</f>
        <v>0</v>
      </c>
      <c r="F42" s="21"/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38"/>
      <c r="S42" s="38"/>
      <c r="T42" s="2"/>
      <c r="U42" s="2"/>
    </row>
    <row r="43" spans="1:60" ht="20.3" hidden="1" customHeight="1" x14ac:dyDescent="0.25">
      <c r="A43" s="259" t="s">
        <v>30</v>
      </c>
      <c r="B43" s="261" t="s">
        <v>31</v>
      </c>
      <c r="C43" s="262" t="s">
        <v>32</v>
      </c>
      <c r="D43" s="19" t="s">
        <v>29</v>
      </c>
      <c r="E43" s="20">
        <f>SUM(F43:L43)</f>
        <v>0</v>
      </c>
      <c r="F43" s="21">
        <f t="shared" ref="F43:K43" si="19">F44+F45+F46</f>
        <v>0</v>
      </c>
      <c r="G43" s="21">
        <f t="shared" si="19"/>
        <v>0</v>
      </c>
      <c r="H43" s="21">
        <f t="shared" si="19"/>
        <v>0</v>
      </c>
      <c r="I43" s="21">
        <f t="shared" si="19"/>
        <v>0</v>
      </c>
      <c r="J43" s="21">
        <f t="shared" si="19"/>
        <v>0</v>
      </c>
      <c r="K43" s="21">
        <f t="shared" si="19"/>
        <v>0</v>
      </c>
      <c r="L43" s="21"/>
      <c r="M43" s="21"/>
      <c r="N43" s="21"/>
      <c r="O43" s="21"/>
      <c r="P43" s="21"/>
      <c r="Q43" s="21"/>
      <c r="R43" s="38"/>
      <c r="S43" s="38"/>
      <c r="T43" s="2"/>
      <c r="U43" s="2"/>
    </row>
    <row r="44" spans="1:60" ht="13.95" hidden="1" customHeight="1" x14ac:dyDescent="0.25">
      <c r="A44" s="259"/>
      <c r="B44" s="261"/>
      <c r="C44" s="263"/>
      <c r="D44" s="19" t="s">
        <v>17</v>
      </c>
      <c r="E44" s="20">
        <f>SUM(F44:L44)</f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/>
      <c r="N44" s="21"/>
      <c r="O44" s="21"/>
      <c r="P44" s="21"/>
      <c r="Q44" s="21"/>
      <c r="R44" s="38"/>
      <c r="S44" s="38"/>
      <c r="T44" s="2"/>
      <c r="U44" s="2"/>
    </row>
    <row r="45" spans="1:60" ht="16.55" hidden="1" customHeight="1" x14ac:dyDescent="0.25">
      <c r="A45" s="259"/>
      <c r="B45" s="261"/>
      <c r="C45" s="263"/>
      <c r="D45" s="19" t="s">
        <v>18</v>
      </c>
      <c r="E45" s="20">
        <f>SUM(F45:L45)</f>
        <v>0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38"/>
      <c r="S45" s="38"/>
      <c r="T45" s="2"/>
      <c r="U45" s="2"/>
    </row>
    <row r="46" spans="1:60" ht="17.2" hidden="1" customHeight="1" x14ac:dyDescent="0.25">
      <c r="A46" s="259"/>
      <c r="B46" s="261"/>
      <c r="C46" s="263"/>
      <c r="D46" s="19" t="s">
        <v>19</v>
      </c>
      <c r="E46" s="20">
        <f>SUM(F46:L46)</f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/>
      <c r="N46" s="21"/>
      <c r="O46" s="21"/>
      <c r="P46" s="21"/>
      <c r="Q46" s="21"/>
      <c r="R46" s="38"/>
      <c r="S46" s="38"/>
      <c r="T46" s="2"/>
      <c r="U46" s="2"/>
    </row>
    <row r="47" spans="1:60" ht="9" hidden="1" customHeight="1" x14ac:dyDescent="0.25">
      <c r="A47" s="260"/>
      <c r="B47" s="261"/>
      <c r="C47" s="264"/>
      <c r="D47" s="19" t="s">
        <v>21</v>
      </c>
      <c r="E47" s="20">
        <f>SUM(F47:L47)</f>
        <v>0</v>
      </c>
      <c r="F47" s="21"/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/>
      <c r="N47" s="21"/>
      <c r="O47" s="21"/>
      <c r="P47" s="21"/>
      <c r="Q47" s="21"/>
      <c r="R47" s="38"/>
      <c r="S47" s="38"/>
      <c r="T47" s="2"/>
      <c r="U47" s="2"/>
    </row>
    <row r="48" spans="1:60" ht="93.6" customHeight="1" x14ac:dyDescent="0.25">
      <c r="A48" s="228" t="s">
        <v>33</v>
      </c>
      <c r="B48" s="276" t="s">
        <v>239</v>
      </c>
      <c r="C48" s="268" t="s">
        <v>28</v>
      </c>
      <c r="D48" s="28" t="s">
        <v>29</v>
      </c>
      <c r="E48" s="20">
        <f>SUM(F48:Q48)</f>
        <v>1236365.8</v>
      </c>
      <c r="F48" s="21">
        <f t="shared" ref="F48:Q48" si="20">SUM(F49:F51)</f>
        <v>0</v>
      </c>
      <c r="G48" s="21">
        <f t="shared" si="20"/>
        <v>67435.5</v>
      </c>
      <c r="H48" s="21">
        <f t="shared" si="20"/>
        <v>75559.100000000006</v>
      </c>
      <c r="I48" s="21">
        <f t="shared" si="20"/>
        <v>75730.399999999994</v>
      </c>
      <c r="J48" s="21">
        <f t="shared" si="20"/>
        <v>98778.2</v>
      </c>
      <c r="K48" s="21">
        <f t="shared" si="20"/>
        <v>97582.8</v>
      </c>
      <c r="L48" s="21">
        <f t="shared" si="20"/>
        <v>92717.3</v>
      </c>
      <c r="M48" s="21">
        <f t="shared" si="20"/>
        <v>110222.8</v>
      </c>
      <c r="N48" s="21">
        <f t="shared" si="20"/>
        <v>104695</v>
      </c>
      <c r="O48" s="21">
        <f>SUM(O49:O51)</f>
        <v>163661.1</v>
      </c>
      <c r="P48" s="21">
        <f t="shared" si="20"/>
        <v>174991.80000000002</v>
      </c>
      <c r="Q48" s="21">
        <f t="shared" si="20"/>
        <v>174991.80000000002</v>
      </c>
      <c r="R48" s="38"/>
      <c r="S48" s="38"/>
      <c r="T48" s="2">
        <v>134324.20000000001</v>
      </c>
      <c r="U48" s="2"/>
    </row>
    <row r="49" spans="1:21" ht="21.6" customHeight="1" x14ac:dyDescent="0.25">
      <c r="A49" s="100"/>
      <c r="B49" s="277"/>
      <c r="C49" s="269"/>
      <c r="D49" s="19" t="s">
        <v>17</v>
      </c>
      <c r="E49" s="20">
        <f>SUM(F49:Q49)</f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38"/>
      <c r="S49" s="38"/>
      <c r="T49" s="2"/>
      <c r="U49" s="2"/>
    </row>
    <row r="50" spans="1:21" ht="35.700000000000003" customHeight="1" x14ac:dyDescent="0.25">
      <c r="A50" s="100"/>
      <c r="B50" s="277"/>
      <c r="C50" s="269"/>
      <c r="D50" s="19" t="s">
        <v>18</v>
      </c>
      <c r="E50" s="20">
        <f>SUM(F50:Q50)</f>
        <v>1236365.8</v>
      </c>
      <c r="F50" s="21"/>
      <c r="G50" s="21">
        <f>52496.7-0.5+6527.9+8411.4</f>
        <v>67435.5</v>
      </c>
      <c r="H50" s="21">
        <f>54659.8+21235.2-335.9</f>
        <v>75559.100000000006</v>
      </c>
      <c r="I50" s="21">
        <f>75564.9+165.5</f>
        <v>75730.399999999994</v>
      </c>
      <c r="J50" s="21">
        <v>98778.2</v>
      </c>
      <c r="K50" s="21">
        <v>97582.8</v>
      </c>
      <c r="L50" s="21">
        <f>127866.4-15152.9-19996.2</f>
        <v>92717.3</v>
      </c>
      <c r="M50" s="21">
        <f>134324.2-62.6+800-11238.5-13600.3</f>
        <v>110222.8</v>
      </c>
      <c r="N50" s="21">
        <f>139207.2-34573.1+60.9</f>
        <v>104695</v>
      </c>
      <c r="O50" s="172">
        <f>174468.7+523+0.1-11330.7</f>
        <v>163661.1</v>
      </c>
      <c r="P50" s="21">
        <f>174468.7+523+0.1</f>
        <v>174991.80000000002</v>
      </c>
      <c r="Q50" s="21">
        <f>174468.7+523+0.1</f>
        <v>174991.80000000002</v>
      </c>
      <c r="R50" s="38"/>
      <c r="S50" s="38"/>
      <c r="T50" s="2">
        <v>134324.20000000001</v>
      </c>
      <c r="U50" s="2"/>
    </row>
    <row r="51" spans="1:21" ht="30.8" customHeight="1" x14ac:dyDescent="0.25">
      <c r="A51" s="100"/>
      <c r="B51" s="277"/>
      <c r="C51" s="269"/>
      <c r="D51" s="19" t="s">
        <v>19</v>
      </c>
      <c r="E51" s="20">
        <f>SUM(F51:Q51)</f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38"/>
      <c r="S51" s="38"/>
      <c r="T51" s="2"/>
      <c r="U51" s="2"/>
    </row>
    <row r="52" spans="1:21" ht="32.25" customHeight="1" x14ac:dyDescent="0.25">
      <c r="A52" s="108"/>
      <c r="B52" s="134"/>
      <c r="C52" s="270"/>
      <c r="D52" s="19" t="s">
        <v>21</v>
      </c>
      <c r="E52" s="20">
        <f>SUM(F52:Q52)</f>
        <v>0</v>
      </c>
      <c r="F52" s="21"/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38"/>
      <c r="S52" s="38"/>
      <c r="T52" s="2"/>
      <c r="U52" s="2"/>
    </row>
    <row r="53" spans="1:21" ht="18" hidden="1" customHeight="1" x14ac:dyDescent="0.25">
      <c r="A53" s="259" t="s">
        <v>34</v>
      </c>
      <c r="B53" s="267" t="s">
        <v>35</v>
      </c>
      <c r="C53" s="262" t="s">
        <v>28</v>
      </c>
      <c r="D53" s="19" t="s">
        <v>29</v>
      </c>
      <c r="E53" s="20">
        <f>SUM(F53:L53)</f>
        <v>0</v>
      </c>
      <c r="F53" s="21">
        <f>SUM(F54:F56)</f>
        <v>0</v>
      </c>
      <c r="G53" s="21">
        <f t="shared" ref="G53:L53" si="21">SUM(G54:G56)</f>
        <v>0</v>
      </c>
      <c r="H53" s="21">
        <f t="shared" si="21"/>
        <v>0</v>
      </c>
      <c r="I53" s="21">
        <f t="shared" si="21"/>
        <v>0</v>
      </c>
      <c r="J53" s="21">
        <f t="shared" si="21"/>
        <v>0</v>
      </c>
      <c r="K53" s="21">
        <f t="shared" si="21"/>
        <v>0</v>
      </c>
      <c r="L53" s="21">
        <f t="shared" si="21"/>
        <v>0</v>
      </c>
      <c r="M53" s="21"/>
      <c r="N53" s="21"/>
      <c r="O53" s="21"/>
      <c r="P53" s="21"/>
      <c r="Q53" s="21"/>
      <c r="R53" s="38"/>
      <c r="S53" s="38"/>
      <c r="T53" s="2"/>
      <c r="U53" s="2"/>
    </row>
    <row r="54" spans="1:21" ht="18" hidden="1" customHeight="1" x14ac:dyDescent="0.25">
      <c r="A54" s="259"/>
      <c r="B54" s="267"/>
      <c r="C54" s="263"/>
      <c r="D54" s="19" t="s">
        <v>17</v>
      </c>
      <c r="E54" s="20">
        <f>SUM(F54:L54)</f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/>
      <c r="N54" s="21"/>
      <c r="O54" s="21"/>
      <c r="P54" s="21"/>
      <c r="Q54" s="21"/>
      <c r="R54" s="38"/>
      <c r="S54" s="38"/>
      <c r="T54" s="2"/>
      <c r="U54" s="2"/>
    </row>
    <row r="55" spans="1:21" ht="20.3" hidden="1" customHeight="1" x14ac:dyDescent="0.25">
      <c r="A55" s="259"/>
      <c r="B55" s="267"/>
      <c r="C55" s="263"/>
      <c r="D55" s="19" t="s">
        <v>18</v>
      </c>
      <c r="E55" s="20">
        <f>SUM(F55:L55)</f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/>
      <c r="N55" s="21"/>
      <c r="O55" s="21"/>
      <c r="P55" s="21"/>
      <c r="Q55" s="21"/>
      <c r="R55" s="38"/>
      <c r="S55" s="38"/>
      <c r="T55" s="2"/>
      <c r="U55" s="2"/>
    </row>
    <row r="56" spans="1:21" ht="20.95" hidden="1" customHeight="1" x14ac:dyDescent="0.25">
      <c r="A56" s="259"/>
      <c r="B56" s="267"/>
      <c r="C56" s="263"/>
      <c r="D56" s="19" t="s">
        <v>19</v>
      </c>
      <c r="E56" s="20">
        <f>SUM(F56:L56)</f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/>
      <c r="N56" s="21"/>
      <c r="O56" s="21"/>
      <c r="P56" s="21"/>
      <c r="Q56" s="21"/>
      <c r="R56" s="38"/>
      <c r="S56" s="38"/>
      <c r="T56" s="2"/>
      <c r="U56" s="2"/>
    </row>
    <row r="57" spans="1:21" ht="8.6999999999999993" hidden="1" customHeight="1" x14ac:dyDescent="0.25">
      <c r="A57" s="273"/>
      <c r="B57" s="297"/>
      <c r="C57" s="264"/>
      <c r="D57" s="19" t="s">
        <v>21</v>
      </c>
      <c r="E57" s="20">
        <f>SUM(F57:L57)</f>
        <v>0</v>
      </c>
      <c r="F57" s="21"/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/>
      <c r="N57" s="21"/>
      <c r="O57" s="21"/>
      <c r="P57" s="21"/>
      <c r="Q57" s="21"/>
      <c r="R57" s="38"/>
      <c r="S57" s="38"/>
      <c r="T57" s="2"/>
      <c r="U57" s="2"/>
    </row>
    <row r="58" spans="1:21" ht="161.69999999999999" customHeight="1" x14ac:dyDescent="0.25">
      <c r="A58" s="299" t="s">
        <v>36</v>
      </c>
      <c r="B58" s="302" t="s">
        <v>240</v>
      </c>
      <c r="C58" s="262" t="s">
        <v>37</v>
      </c>
      <c r="D58" s="19" t="s">
        <v>29</v>
      </c>
      <c r="E58" s="20">
        <f>SUM(F58:Q58)</f>
        <v>17134980.700000003</v>
      </c>
      <c r="F58" s="21">
        <f>SUM(F59:F61)</f>
        <v>0</v>
      </c>
      <c r="G58" s="21">
        <f t="shared" ref="G58:L58" si="22">SUM(G59:G61)</f>
        <v>629069.20000000007</v>
      </c>
      <c r="H58" s="21">
        <f t="shared" si="22"/>
        <v>640424.19999999995</v>
      </c>
      <c r="I58" s="21">
        <f t="shared" si="22"/>
        <v>1067945.6000000001</v>
      </c>
      <c r="J58" s="21">
        <f t="shared" si="22"/>
        <v>1161461.3999999999</v>
      </c>
      <c r="K58" s="21">
        <f t="shared" si="22"/>
        <v>1303816.1000000001</v>
      </c>
      <c r="L58" s="21">
        <f t="shared" si="22"/>
        <v>1492743.2</v>
      </c>
      <c r="M58" s="21">
        <f>SUM(M59:M61)</f>
        <v>1849846.6</v>
      </c>
      <c r="N58" s="21">
        <f>SUM(N59:N61)</f>
        <v>1998344.7999999998</v>
      </c>
      <c r="O58" s="21">
        <f>SUM(O59:O61)</f>
        <v>2141071.9</v>
      </c>
      <c r="P58" s="21">
        <f>SUM(P59:P61)</f>
        <v>2351607.7000000002</v>
      </c>
      <c r="Q58" s="21">
        <f>SUM(Q59:Q61)</f>
        <v>2498650</v>
      </c>
      <c r="R58" s="38"/>
      <c r="S58" s="38"/>
      <c r="T58" s="2">
        <v>1804332.6</v>
      </c>
      <c r="U58" s="2"/>
    </row>
    <row r="59" spans="1:21" ht="35.200000000000003" customHeight="1" x14ac:dyDescent="0.25">
      <c r="A59" s="300"/>
      <c r="B59" s="303"/>
      <c r="C59" s="263"/>
      <c r="D59" s="19" t="s">
        <v>17</v>
      </c>
      <c r="E59" s="20">
        <f>SUM(F59:Q59)</f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38"/>
      <c r="S59" s="38"/>
      <c r="T59" s="2"/>
      <c r="U59" s="2"/>
    </row>
    <row r="60" spans="1:21" ht="37.5" customHeight="1" x14ac:dyDescent="0.25">
      <c r="A60" s="300"/>
      <c r="B60" s="303"/>
      <c r="C60" s="263"/>
      <c r="D60" s="19" t="s">
        <v>18</v>
      </c>
      <c r="E60" s="20">
        <f>SUM(F60:Q60)</f>
        <v>17134980.700000003</v>
      </c>
      <c r="F60" s="21"/>
      <c r="G60" s="21">
        <f>626898.1+0.8+2170.3</f>
        <v>629069.20000000007</v>
      </c>
      <c r="H60" s="21">
        <f>630711.7+117.7+9594.8</f>
        <v>640424.19999999995</v>
      </c>
      <c r="I60" s="21">
        <f>639199.4+363190.1+13116.2+39389.1+13050.8</f>
        <v>1067945.6000000001</v>
      </c>
      <c r="J60" s="21">
        <v>1161461.3999999999</v>
      </c>
      <c r="K60" s="21">
        <v>1303816.1000000001</v>
      </c>
      <c r="L60" s="21">
        <f>1482602.7-366.6+10507.1</f>
        <v>1492743.2</v>
      </c>
      <c r="M60" s="21">
        <f>1804332.6+3948.9+41565.1</f>
        <v>1849846.6</v>
      </c>
      <c r="N60" s="21">
        <f>1986953.9-3468.1+11839.6+3019.4</f>
        <v>1998344.7999999998</v>
      </c>
      <c r="O60" s="172">
        <f>912441.7+1291320.1-93624.6+25549.2+5385.5</f>
        <v>2141071.9</v>
      </c>
      <c r="P60" s="21">
        <f>973486.2+1373636.3+4485.2</f>
        <v>2351607.7000000002</v>
      </c>
      <c r="Q60" s="21">
        <f>1037574.8+1459800.7+1274.5</f>
        <v>2498650</v>
      </c>
      <c r="R60" s="38"/>
      <c r="S60" s="38"/>
      <c r="T60" s="2">
        <v>1804332.6</v>
      </c>
      <c r="U60" s="2"/>
    </row>
    <row r="61" spans="1:21" ht="34.549999999999997" customHeight="1" x14ac:dyDescent="0.25">
      <c r="A61" s="300"/>
      <c r="B61" s="303"/>
      <c r="C61" s="263"/>
      <c r="D61" s="19" t="s">
        <v>19</v>
      </c>
      <c r="E61" s="20">
        <f>SUM(F61:Q61)</f>
        <v>0</v>
      </c>
      <c r="F61" s="21"/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38"/>
      <c r="S61" s="38"/>
      <c r="T61" s="2"/>
      <c r="U61" s="2"/>
    </row>
    <row r="62" spans="1:21" ht="72" customHeight="1" x14ac:dyDescent="0.25">
      <c r="A62" s="301"/>
      <c r="B62" s="304"/>
      <c r="C62" s="264"/>
      <c r="D62" s="19" t="s">
        <v>21</v>
      </c>
      <c r="E62" s="20">
        <f>SUM(F62:Q62)</f>
        <v>0</v>
      </c>
      <c r="F62" s="21"/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38"/>
      <c r="S62" s="38"/>
      <c r="T62" s="2"/>
      <c r="U62" s="2"/>
    </row>
    <row r="63" spans="1:21" ht="19.5" hidden="1" customHeight="1" x14ac:dyDescent="0.25">
      <c r="A63" s="265" t="s">
        <v>38</v>
      </c>
      <c r="B63" s="266" t="s">
        <v>39</v>
      </c>
      <c r="C63" s="262" t="s">
        <v>40</v>
      </c>
      <c r="D63" s="19" t="s">
        <v>29</v>
      </c>
      <c r="E63" s="20">
        <f>SUM(F63:L63)</f>
        <v>0</v>
      </c>
      <c r="F63" s="21">
        <f>SUM(F64:F66)</f>
        <v>0</v>
      </c>
      <c r="G63" s="21">
        <f t="shared" ref="G63:L63" si="23">SUM(G64:G66)</f>
        <v>0</v>
      </c>
      <c r="H63" s="21">
        <f t="shared" si="23"/>
        <v>0</v>
      </c>
      <c r="I63" s="21">
        <f t="shared" si="23"/>
        <v>0</v>
      </c>
      <c r="J63" s="21">
        <f t="shared" si="23"/>
        <v>0</v>
      </c>
      <c r="K63" s="21">
        <f t="shared" si="23"/>
        <v>0</v>
      </c>
      <c r="L63" s="21">
        <f t="shared" si="23"/>
        <v>0</v>
      </c>
      <c r="M63" s="21">
        <f>SUM(M64:M66)</f>
        <v>0</v>
      </c>
      <c r="N63" s="21"/>
      <c r="O63" s="21"/>
      <c r="P63" s="21"/>
      <c r="Q63" s="21"/>
      <c r="R63" s="38"/>
      <c r="S63" s="38"/>
      <c r="T63" s="2"/>
      <c r="U63" s="2"/>
    </row>
    <row r="64" spans="1:21" ht="18" hidden="1" customHeight="1" x14ac:dyDescent="0.25">
      <c r="A64" s="259"/>
      <c r="B64" s="267"/>
      <c r="C64" s="263"/>
      <c r="D64" s="19" t="s">
        <v>17</v>
      </c>
      <c r="E64" s="20">
        <f>SUM(F64:L64)</f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/>
      <c r="O64" s="21"/>
      <c r="P64" s="21"/>
      <c r="Q64" s="21"/>
      <c r="R64" s="38"/>
      <c r="S64" s="38"/>
      <c r="T64" s="2"/>
      <c r="U64" s="2"/>
    </row>
    <row r="65" spans="1:21" ht="20.3" hidden="1" customHeight="1" x14ac:dyDescent="0.25">
      <c r="A65" s="259"/>
      <c r="B65" s="267"/>
      <c r="C65" s="263"/>
      <c r="D65" s="19" t="s">
        <v>18</v>
      </c>
      <c r="E65" s="20">
        <f>SUM(F65:L65)</f>
        <v>0</v>
      </c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38"/>
      <c r="S65" s="38"/>
      <c r="T65" s="2"/>
      <c r="U65" s="2"/>
    </row>
    <row r="66" spans="1:21" ht="15.75" hidden="1" customHeight="1" x14ac:dyDescent="0.25">
      <c r="A66" s="260"/>
      <c r="B66" s="267"/>
      <c r="C66" s="263"/>
      <c r="D66" s="19" t="s">
        <v>19</v>
      </c>
      <c r="E66" s="20">
        <f>SUM(F66:L66)</f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/>
      <c r="O66" s="21"/>
      <c r="P66" s="21"/>
      <c r="Q66" s="21"/>
      <c r="R66" s="38"/>
      <c r="S66" s="38"/>
      <c r="T66" s="2"/>
      <c r="U66" s="2"/>
    </row>
    <row r="67" spans="1:21" ht="1.1499999999999999" hidden="1" customHeight="1" x14ac:dyDescent="0.25">
      <c r="A67" s="260"/>
      <c r="B67" s="267"/>
      <c r="C67" s="264"/>
      <c r="D67" s="19" t="s">
        <v>21</v>
      </c>
      <c r="E67" s="20">
        <f>SUM(F67:L67)</f>
        <v>0</v>
      </c>
      <c r="F67" s="21"/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/>
      <c r="O67" s="21"/>
      <c r="P67" s="21"/>
      <c r="Q67" s="21"/>
      <c r="R67" s="38"/>
      <c r="S67" s="38"/>
      <c r="T67" s="2"/>
      <c r="U67" s="2"/>
    </row>
    <row r="68" spans="1:21" ht="33.75" customHeight="1" x14ac:dyDescent="0.25">
      <c r="A68" s="226" t="s">
        <v>41</v>
      </c>
      <c r="B68" s="274" t="s">
        <v>42</v>
      </c>
      <c r="C68" s="268" t="s">
        <v>16</v>
      </c>
      <c r="D68" s="19" t="s">
        <v>29</v>
      </c>
      <c r="E68" s="20">
        <f>SUM(F68:Q68)</f>
        <v>11556620.999999998</v>
      </c>
      <c r="F68" s="21">
        <f>SUM(F69:F71)</f>
        <v>0</v>
      </c>
      <c r="G68" s="21">
        <f t="shared" ref="G68:L68" si="24">SUM(G69:G71)+G73</f>
        <v>658346.79999999993</v>
      </c>
      <c r="H68" s="21">
        <f>SUM(H69:H71)+H73</f>
        <v>680111.29999999993</v>
      </c>
      <c r="I68" s="21">
        <f>SUM(I69:I71)+I73</f>
        <v>710438.2</v>
      </c>
      <c r="J68" s="21">
        <f t="shared" si="24"/>
        <v>907206.9</v>
      </c>
      <c r="K68" s="21">
        <f>SUM(K69:K71)+K73</f>
        <v>1162512.7</v>
      </c>
      <c r="L68" s="21">
        <f t="shared" si="24"/>
        <v>1307859.1999999997</v>
      </c>
      <c r="M68" s="21">
        <f>SUM(M69:M71)+M73</f>
        <v>1192168.5999999999</v>
      </c>
      <c r="N68" s="21">
        <f>SUM(N69:N71)+N73</f>
        <v>1206005.3000000003</v>
      </c>
      <c r="O68" s="21">
        <f>SUM(O69:O71)+O73</f>
        <v>1280186.1999999995</v>
      </c>
      <c r="P68" s="21">
        <f>SUM(P69:P71)+P73</f>
        <v>1225374.0999999999</v>
      </c>
      <c r="Q68" s="21">
        <f>SUM(Q69:Q71)+Q73</f>
        <v>1226411.7</v>
      </c>
      <c r="R68" s="38"/>
      <c r="S68" s="38"/>
      <c r="T68" s="2">
        <v>1161723.8999999999</v>
      </c>
      <c r="U68" s="2">
        <v>1118287.3</v>
      </c>
    </row>
    <row r="69" spans="1:21" ht="33.4" customHeight="1" x14ac:dyDescent="0.25">
      <c r="A69" s="202"/>
      <c r="B69" s="275"/>
      <c r="C69" s="269"/>
      <c r="D69" s="19" t="s">
        <v>17</v>
      </c>
      <c r="E69" s="20">
        <f>SUM(F69:Q69)</f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38"/>
      <c r="S69" s="38"/>
      <c r="T69" s="2"/>
      <c r="U69" s="2"/>
    </row>
    <row r="70" spans="1:21" ht="44.05" customHeight="1" x14ac:dyDescent="0.25">
      <c r="A70" s="202"/>
      <c r="B70" s="275"/>
      <c r="C70" s="269"/>
      <c r="D70" s="19" t="s">
        <v>18</v>
      </c>
      <c r="E70" s="20">
        <f>SUM(F70:Q70)</f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38"/>
      <c r="S70" s="38"/>
      <c r="T70" s="2"/>
      <c r="U70" s="2"/>
    </row>
    <row r="71" spans="1:21" ht="31.95" customHeight="1" x14ac:dyDescent="0.25">
      <c r="A71" s="99"/>
      <c r="B71" s="111"/>
      <c r="C71" s="269"/>
      <c r="D71" s="19" t="s">
        <v>19</v>
      </c>
      <c r="E71" s="20">
        <f>SUM(F71:Q71)</f>
        <v>11513399.199999999</v>
      </c>
      <c r="F71" s="21"/>
      <c r="G71" s="21">
        <f>291918.7+377290.5+797.7+142+10488.7+444.8-389.8+19.4+303.7-15860.2-9466</f>
        <v>655689.49999999988</v>
      </c>
      <c r="H71" s="21">
        <f>692209.2-75.6-1317-14103.3</f>
        <v>676713.29999999993</v>
      </c>
      <c r="I71" s="21">
        <f>352085.7+231714+148517.6-1000-215-271.1-120.1-541.7+1976.1-569.6-704.8+980-957.6-25213.8+2789.4-1507</f>
        <v>706962.1</v>
      </c>
      <c r="J71" s="21">
        <v>903358.3</v>
      </c>
      <c r="K71" s="21">
        <v>1158566.3</v>
      </c>
      <c r="L71" s="21">
        <f>1202225.7-875.5+19128.4+30000+2500-2127.4+4448.1-201.1-22767+6419.4-891.9-600+28959.7+2161.7-7824.5+41619.9+1476.2</f>
        <v>1303651.6999999997</v>
      </c>
      <c r="M71" s="21">
        <f>571143+280122.1+234920.3-17817.2-29727.4-9000+457.7-25.2-0.1+136.5+700+966.3-12176.6+8808.2-350.9+66.2+8206+28545.2+31032.2+4435+0.6-3000-200-120-7.7-3-2929.5-2927.4-1796.9-101.2+20389+15622.4+374.9+2408.7+390+1989.5+26829.6+2549.6-13139.5+7957.4-3728.4+1903.9-1287.3+623.4+600+1119+31.4+33409.5+141.8+263.9</f>
        <v>1187804.9999999998</v>
      </c>
      <c r="N71" s="21">
        <f>1031955.7-52749+2100+395.8+1695+160+1514.2+106.1+118577.4+700-3376.2+248.4+200+270-12.5+25347.5+27124.1+1711.6+66+100-2784.5+1.1-1911.4+379.2+34323.6+1198.7+865.6+1729.6+1011+10000+100+15.1+110.2-0.1-0.1</f>
        <v>1201172.1000000003</v>
      </c>
      <c r="O71" s="172">
        <f>681527.4+248049+229367.7-0.1-1015.1+44283.4+288.5+0.2+176.6+431.1+2484.9+36671.4+1630.7+6041.8-427.2-97.8+22463.5+3504.4-0.1</f>
        <v>1275380.2999999996</v>
      </c>
      <c r="P71" s="21">
        <f>698879.9+276739.2+247211.7-0.1-1218.1+0.1</f>
        <v>1221612.7</v>
      </c>
      <c r="Q71" s="21">
        <f>722970.6+278543.2+262177.8+1795.3-0.1-4650.4-37130.6-1218.1+0.2</f>
        <v>1222487.8999999999</v>
      </c>
      <c r="R71" s="38">
        <f>682112.6+249462.4+125763.9+100878.7</f>
        <v>1158217.5999999999</v>
      </c>
      <c r="S71" s="38">
        <f>R71-O71</f>
        <v>-117162.69999999972</v>
      </c>
      <c r="T71" s="2">
        <v>1157360.3</v>
      </c>
      <c r="U71" s="2">
        <v>1113765</v>
      </c>
    </row>
    <row r="72" spans="1:21" ht="76.95" customHeight="1" x14ac:dyDescent="0.25">
      <c r="A72" s="173"/>
      <c r="B72" s="96"/>
      <c r="C72" s="269"/>
      <c r="D72" s="19" t="s">
        <v>20</v>
      </c>
      <c r="E72" s="20">
        <f>SUM(G72:Q72)</f>
        <v>19657.100000000002</v>
      </c>
      <c r="F72" s="21"/>
      <c r="G72" s="21">
        <f>985.4+1083.7-37.3+35+361.7+10488.7+770+4731.2+56.7+29.6+657.3+378.4+116.7</f>
        <v>19657.100000000002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38"/>
      <c r="S72" s="38"/>
      <c r="T72" s="2"/>
      <c r="U72" s="2"/>
    </row>
    <row r="73" spans="1:21" ht="38.299999999999997" customHeight="1" x14ac:dyDescent="0.25">
      <c r="A73" s="24"/>
      <c r="B73" s="127"/>
      <c r="C73" s="270"/>
      <c r="D73" s="19" t="s">
        <v>21</v>
      </c>
      <c r="E73" s="20">
        <f>SUM(F73:Q73)</f>
        <v>43221.8</v>
      </c>
      <c r="F73" s="21"/>
      <c r="G73" s="21">
        <f>2475.4+181.9</f>
        <v>2657.3</v>
      </c>
      <c r="H73" s="21">
        <v>3398</v>
      </c>
      <c r="I73" s="21">
        <v>3476.1</v>
      </c>
      <c r="J73" s="21">
        <v>3848.6</v>
      </c>
      <c r="K73" s="21">
        <v>3946.4</v>
      </c>
      <c r="L73" s="21">
        <v>4207.5</v>
      </c>
      <c r="M73" s="21">
        <v>4363.6000000000004</v>
      </c>
      <c r="N73" s="21">
        <f>4440.4+392.8</f>
        <v>4833.2</v>
      </c>
      <c r="O73" s="21">
        <v>4805.8999999999996</v>
      </c>
      <c r="P73" s="21">
        <v>3761.4</v>
      </c>
      <c r="Q73" s="21">
        <v>3923.8</v>
      </c>
      <c r="R73" s="38"/>
      <c r="S73" s="38"/>
      <c r="T73" s="2"/>
      <c r="U73" s="2"/>
    </row>
    <row r="74" spans="1:21" ht="20.95" hidden="1" customHeight="1" x14ac:dyDescent="0.25">
      <c r="A74" s="259" t="s">
        <v>43</v>
      </c>
      <c r="B74" s="261" t="s">
        <v>44</v>
      </c>
      <c r="C74" s="29"/>
      <c r="D74" s="19" t="s">
        <v>4</v>
      </c>
      <c r="E74" s="20">
        <f>SUM(F74:L74)</f>
        <v>0</v>
      </c>
      <c r="F74" s="21">
        <f t="shared" ref="F74:L74" si="25">SUM(F75:F77)</f>
        <v>0</v>
      </c>
      <c r="G74" s="21">
        <f t="shared" si="25"/>
        <v>0</v>
      </c>
      <c r="H74" s="21">
        <f t="shared" si="25"/>
        <v>0</v>
      </c>
      <c r="I74" s="21">
        <f t="shared" si="25"/>
        <v>0</v>
      </c>
      <c r="J74" s="21">
        <f t="shared" si="25"/>
        <v>0</v>
      </c>
      <c r="K74" s="21">
        <f t="shared" si="25"/>
        <v>0</v>
      </c>
      <c r="L74" s="21">
        <f t="shared" si="25"/>
        <v>0</v>
      </c>
      <c r="M74" s="21">
        <f>SUM(M75:M77)</f>
        <v>0</v>
      </c>
      <c r="N74" s="21"/>
      <c r="O74" s="21"/>
      <c r="P74" s="21"/>
      <c r="Q74" s="21"/>
      <c r="R74" s="38"/>
      <c r="S74" s="38"/>
      <c r="T74" s="2"/>
      <c r="U74" s="2"/>
    </row>
    <row r="75" spans="1:21" ht="15.75" hidden="1" customHeight="1" x14ac:dyDescent="0.25">
      <c r="A75" s="259"/>
      <c r="B75" s="261"/>
      <c r="C75" s="30"/>
      <c r="D75" s="19" t="s">
        <v>45</v>
      </c>
      <c r="E75" s="20">
        <f>SUM(F75:L75)</f>
        <v>0</v>
      </c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38"/>
      <c r="S75" s="38"/>
      <c r="T75" s="2"/>
      <c r="U75" s="2"/>
    </row>
    <row r="76" spans="1:21" ht="15.75" hidden="1" customHeight="1" x14ac:dyDescent="0.25">
      <c r="A76" s="259"/>
      <c r="B76" s="261"/>
      <c r="C76" s="30"/>
      <c r="D76" s="19" t="s">
        <v>46</v>
      </c>
      <c r="E76" s="20">
        <f>SUM(F76:L76)</f>
        <v>0</v>
      </c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38"/>
      <c r="S76" s="38"/>
      <c r="T76" s="2"/>
      <c r="U76" s="2"/>
    </row>
    <row r="77" spans="1:21" ht="28.15" hidden="1" customHeight="1" x14ac:dyDescent="0.25">
      <c r="A77" s="271"/>
      <c r="B77" s="272"/>
      <c r="C77" s="31"/>
      <c r="D77" s="19" t="s">
        <v>47</v>
      </c>
      <c r="E77" s="20">
        <f>SUM(F77:L77)</f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0</v>
      </c>
      <c r="N77" s="21"/>
      <c r="O77" s="21"/>
      <c r="P77" s="21"/>
      <c r="Q77" s="21"/>
      <c r="R77" s="38"/>
      <c r="S77" s="38"/>
      <c r="T77" s="2"/>
      <c r="U77" s="2"/>
    </row>
    <row r="78" spans="1:21" ht="33.049999999999997" hidden="1" customHeight="1" x14ac:dyDescent="0.25">
      <c r="A78" s="105"/>
      <c r="B78" s="107"/>
      <c r="C78" s="30"/>
      <c r="D78" s="19" t="s">
        <v>48</v>
      </c>
      <c r="E78" s="20">
        <f>SUM(F78:L78)</f>
        <v>0</v>
      </c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38"/>
      <c r="S78" s="38"/>
      <c r="T78" s="2"/>
      <c r="U78" s="2"/>
    </row>
    <row r="79" spans="1:21" ht="30.8" customHeight="1" x14ac:dyDescent="0.25">
      <c r="A79" s="130" t="s">
        <v>49</v>
      </c>
      <c r="B79" s="306" t="s">
        <v>50</v>
      </c>
      <c r="C79" s="268" t="s">
        <v>16</v>
      </c>
      <c r="D79" s="19" t="s">
        <v>29</v>
      </c>
      <c r="E79" s="20">
        <f t="shared" ref="E79:E98" si="26">SUM(F79:Q79)</f>
        <v>189197.8</v>
      </c>
      <c r="F79" s="21">
        <f t="shared" ref="F79:L79" si="27">SUM(F80:F82)</f>
        <v>0</v>
      </c>
      <c r="G79" s="21">
        <f t="shared" si="27"/>
        <v>0</v>
      </c>
      <c r="H79" s="21">
        <f t="shared" si="27"/>
        <v>9622.1</v>
      </c>
      <c r="I79" s="21">
        <f t="shared" si="27"/>
        <v>9742.5999999999985</v>
      </c>
      <c r="J79" s="21">
        <f t="shared" si="27"/>
        <v>10065.700000000001</v>
      </c>
      <c r="K79" s="21">
        <f t="shared" si="27"/>
        <v>11563</v>
      </c>
      <c r="L79" s="21">
        <f t="shared" si="27"/>
        <v>13444.699999999999</v>
      </c>
      <c r="M79" s="21">
        <f>SUM(M80:M82)</f>
        <v>21813.599999999999</v>
      </c>
      <c r="N79" s="21">
        <f>SUM(N80:N82)</f>
        <v>23964.3</v>
      </c>
      <c r="O79" s="21">
        <f>SUM(O80:O82)</f>
        <v>29660.6</v>
      </c>
      <c r="P79" s="21">
        <f>SUM(P80:P82)</f>
        <v>29660.6</v>
      </c>
      <c r="Q79" s="21">
        <f>SUM(Q80:Q82)</f>
        <v>29660.6</v>
      </c>
      <c r="R79" s="38"/>
      <c r="S79" s="38"/>
      <c r="T79" s="2">
        <v>18207.3</v>
      </c>
      <c r="U79" s="2"/>
    </row>
    <row r="80" spans="1:21" ht="30.8" customHeight="1" x14ac:dyDescent="0.25">
      <c r="A80" s="100"/>
      <c r="B80" s="289"/>
      <c r="C80" s="269"/>
      <c r="D80" s="19" t="s">
        <v>17</v>
      </c>
      <c r="E80" s="20">
        <f t="shared" si="26"/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1">
        <v>0</v>
      </c>
      <c r="R80" s="38"/>
      <c r="S80" s="38"/>
      <c r="T80" s="2"/>
      <c r="U80" s="2"/>
    </row>
    <row r="81" spans="1:21" ht="47.3" customHeight="1" x14ac:dyDescent="0.25">
      <c r="A81" s="311"/>
      <c r="B81" s="289"/>
      <c r="C81" s="269"/>
      <c r="D81" s="19" t="s">
        <v>18</v>
      </c>
      <c r="E81" s="20">
        <f t="shared" si="26"/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38"/>
      <c r="S81" s="38"/>
      <c r="T81" s="2"/>
      <c r="U81" s="2"/>
    </row>
    <row r="82" spans="1:21" ht="24.05" customHeight="1" x14ac:dyDescent="0.25">
      <c r="A82" s="311"/>
      <c r="B82" s="116"/>
      <c r="C82" s="269"/>
      <c r="D82" s="19" t="s">
        <v>19</v>
      </c>
      <c r="E82" s="20">
        <f t="shared" si="26"/>
        <v>189197.8</v>
      </c>
      <c r="F82" s="21">
        <v>0</v>
      </c>
      <c r="G82" s="21">
        <v>0</v>
      </c>
      <c r="H82" s="21">
        <f>4888.3+3416.8+1317</f>
        <v>9622.1</v>
      </c>
      <c r="I82" s="21">
        <f>9960.3-382.7+165</f>
        <v>9742.5999999999985</v>
      </c>
      <c r="J82" s="21">
        <v>10065.700000000001</v>
      </c>
      <c r="K82" s="21">
        <v>11563</v>
      </c>
      <c r="L82" s="21">
        <f>13207.3-900+1137.4</f>
        <v>13444.699999999999</v>
      </c>
      <c r="M82" s="21">
        <f>9245.1+3962.2+5000+3806.3-200</f>
        <v>21813.599999999999</v>
      </c>
      <c r="N82" s="21">
        <f>13950+5000+3093.2+1921.1</f>
        <v>23964.3</v>
      </c>
      <c r="O82" s="21">
        <v>29660.6</v>
      </c>
      <c r="P82" s="21">
        <v>29660.6</v>
      </c>
      <c r="Q82" s="21">
        <v>29660.6</v>
      </c>
      <c r="R82" s="38"/>
      <c r="S82" s="38"/>
      <c r="T82" s="2"/>
      <c r="U82" s="2"/>
    </row>
    <row r="83" spans="1:21" ht="34.200000000000003" customHeight="1" x14ac:dyDescent="0.25">
      <c r="A83" s="312"/>
      <c r="B83" s="133"/>
      <c r="C83" s="270"/>
      <c r="D83" s="19" t="s">
        <v>21</v>
      </c>
      <c r="E83" s="20">
        <f t="shared" si="26"/>
        <v>0</v>
      </c>
      <c r="F83" s="21"/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  <c r="N83" s="21"/>
      <c r="O83" s="21"/>
      <c r="P83" s="21"/>
      <c r="Q83" s="21"/>
      <c r="R83" s="38"/>
      <c r="S83" s="38"/>
      <c r="T83" s="2"/>
      <c r="U83" s="2"/>
    </row>
    <row r="84" spans="1:21" ht="29.95" customHeight="1" x14ac:dyDescent="0.25">
      <c r="A84" s="132" t="s">
        <v>51</v>
      </c>
      <c r="B84" s="313" t="s">
        <v>52</v>
      </c>
      <c r="C84" s="268" t="s">
        <v>16</v>
      </c>
      <c r="D84" s="19" t="s">
        <v>29</v>
      </c>
      <c r="E84" s="20">
        <f t="shared" si="26"/>
        <v>4895.9999999999991</v>
      </c>
      <c r="F84" s="21">
        <f t="shared" ref="F84:L84" si="28">SUM(F85:F87)</f>
        <v>0</v>
      </c>
      <c r="G84" s="21">
        <f t="shared" si="28"/>
        <v>0</v>
      </c>
      <c r="H84" s="21">
        <f t="shared" si="28"/>
        <v>480</v>
      </c>
      <c r="I84" s="21">
        <f t="shared" si="28"/>
        <v>480</v>
      </c>
      <c r="J84" s="21">
        <f t="shared" si="28"/>
        <v>480</v>
      </c>
      <c r="K84" s="21">
        <f t="shared" si="28"/>
        <v>480</v>
      </c>
      <c r="L84" s="21">
        <f t="shared" si="28"/>
        <v>480</v>
      </c>
      <c r="M84" s="21">
        <f>SUM(M85:M87)</f>
        <v>499.2</v>
      </c>
      <c r="N84" s="21">
        <f>SUM(N85:N87)</f>
        <v>499.2</v>
      </c>
      <c r="O84" s="21">
        <f>SUM(O85:O87)</f>
        <v>499.2</v>
      </c>
      <c r="P84" s="21">
        <f>SUM(P85:P87)</f>
        <v>499.2</v>
      </c>
      <c r="Q84" s="21">
        <f>SUM(Q85:Q87)</f>
        <v>499.2</v>
      </c>
      <c r="R84" s="38"/>
      <c r="S84" s="38"/>
      <c r="T84" s="2">
        <v>499</v>
      </c>
      <c r="U84" s="2"/>
    </row>
    <row r="85" spans="1:21" ht="22.95" customHeight="1" x14ac:dyDescent="0.25">
      <c r="A85" s="113"/>
      <c r="B85" s="314"/>
      <c r="C85" s="269"/>
      <c r="D85" s="19" t="s">
        <v>17</v>
      </c>
      <c r="E85" s="20">
        <f t="shared" si="26"/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21">
        <v>0</v>
      </c>
      <c r="R85" s="38"/>
      <c r="S85" s="38"/>
      <c r="T85" s="2"/>
      <c r="U85" s="2"/>
    </row>
    <row r="86" spans="1:21" ht="24.75" customHeight="1" x14ac:dyDescent="0.25">
      <c r="A86" s="113"/>
      <c r="B86" s="314"/>
      <c r="C86" s="269"/>
      <c r="D86" s="19" t="s">
        <v>18</v>
      </c>
      <c r="E86" s="20">
        <f t="shared" si="26"/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38"/>
      <c r="S86" s="38"/>
      <c r="T86" s="2"/>
      <c r="U86" s="2"/>
    </row>
    <row r="87" spans="1:21" ht="23.25" customHeight="1" x14ac:dyDescent="0.25">
      <c r="A87" s="113"/>
      <c r="B87" s="314"/>
      <c r="C87" s="269"/>
      <c r="D87" s="19" t="s">
        <v>19</v>
      </c>
      <c r="E87" s="20">
        <f t="shared" si="26"/>
        <v>4895.9999999999991</v>
      </c>
      <c r="F87" s="21"/>
      <c r="G87" s="21">
        <v>0</v>
      </c>
      <c r="H87" s="21">
        <v>480</v>
      </c>
      <c r="I87" s="21">
        <v>480</v>
      </c>
      <c r="J87" s="21">
        <v>480</v>
      </c>
      <c r="K87" s="21">
        <v>480</v>
      </c>
      <c r="L87" s="21">
        <v>480</v>
      </c>
      <c r="M87" s="21">
        <f>499+0.2</f>
        <v>499.2</v>
      </c>
      <c r="N87" s="21">
        <f>282.2+217</f>
        <v>499.2</v>
      </c>
      <c r="O87" s="21">
        <v>499.2</v>
      </c>
      <c r="P87" s="21">
        <v>499.2</v>
      </c>
      <c r="Q87" s="21">
        <v>499.2</v>
      </c>
      <c r="R87" s="38"/>
      <c r="S87" s="38"/>
      <c r="T87" s="2"/>
      <c r="U87" s="2"/>
    </row>
    <row r="88" spans="1:21" ht="33.049999999999997" customHeight="1" x14ac:dyDescent="0.25">
      <c r="A88" s="127"/>
      <c r="B88" s="315"/>
      <c r="C88" s="270"/>
      <c r="D88" s="19" t="s">
        <v>21</v>
      </c>
      <c r="E88" s="20">
        <f t="shared" si="26"/>
        <v>0</v>
      </c>
      <c r="F88" s="21"/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  <c r="Q88" s="21">
        <v>0</v>
      </c>
      <c r="R88" s="38"/>
      <c r="S88" s="38"/>
      <c r="T88" s="2"/>
      <c r="U88" s="2"/>
    </row>
    <row r="89" spans="1:21" ht="24.75" customHeight="1" x14ac:dyDescent="0.25">
      <c r="A89" s="132" t="s">
        <v>53</v>
      </c>
      <c r="B89" s="313" t="s">
        <v>54</v>
      </c>
      <c r="C89" s="268" t="s">
        <v>16</v>
      </c>
      <c r="D89" s="19" t="s">
        <v>29</v>
      </c>
      <c r="E89" s="20">
        <f t="shared" si="26"/>
        <v>31882.1</v>
      </c>
      <c r="F89" s="21">
        <f t="shared" ref="F89:L89" si="29">SUM(F90:F92)</f>
        <v>0</v>
      </c>
      <c r="G89" s="21">
        <f t="shared" si="29"/>
        <v>0</v>
      </c>
      <c r="H89" s="21">
        <f t="shared" si="29"/>
        <v>7738.4</v>
      </c>
      <c r="I89" s="21">
        <f t="shared" si="29"/>
        <v>8267.4</v>
      </c>
      <c r="J89" s="21">
        <f t="shared" si="29"/>
        <v>3721.1</v>
      </c>
      <c r="K89" s="21">
        <f t="shared" si="29"/>
        <v>2584.3000000000002</v>
      </c>
      <c r="L89" s="21">
        <f t="shared" si="29"/>
        <v>2415.8999999999996</v>
      </c>
      <c r="M89" s="21">
        <f>SUM(M90:M92)</f>
        <v>2303.3000000000002</v>
      </c>
      <c r="N89" s="21">
        <f>SUM(N90:N92)</f>
        <v>971.19999999999982</v>
      </c>
      <c r="O89" s="21">
        <f>SUM(O90:O92)</f>
        <v>880.5</v>
      </c>
      <c r="P89" s="21">
        <f>SUM(P90:P92)</f>
        <v>1500</v>
      </c>
      <c r="Q89" s="21">
        <f>SUM(Q90:Q92)</f>
        <v>1500</v>
      </c>
      <c r="R89" s="38"/>
      <c r="S89" s="38"/>
      <c r="T89" s="2">
        <v>7229.3</v>
      </c>
      <c r="U89" s="2"/>
    </row>
    <row r="90" spans="1:21" ht="20.3" customHeight="1" x14ac:dyDescent="0.25">
      <c r="A90" s="113"/>
      <c r="B90" s="284"/>
      <c r="C90" s="269"/>
      <c r="D90" s="19" t="s">
        <v>17</v>
      </c>
      <c r="E90" s="20">
        <f t="shared" si="26"/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1">
        <v>0</v>
      </c>
      <c r="R90" s="38"/>
      <c r="S90" s="38"/>
      <c r="T90" s="2"/>
      <c r="U90" s="2"/>
    </row>
    <row r="91" spans="1:21" ht="35.700000000000003" customHeight="1" x14ac:dyDescent="0.25">
      <c r="A91" s="113"/>
      <c r="B91" s="284"/>
      <c r="C91" s="269"/>
      <c r="D91" s="19" t="s">
        <v>18</v>
      </c>
      <c r="E91" s="20">
        <f t="shared" si="26"/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1">
        <v>0</v>
      </c>
      <c r="R91" s="38"/>
      <c r="S91" s="38"/>
      <c r="T91" s="2"/>
      <c r="U91" s="2"/>
    </row>
    <row r="92" spans="1:21" ht="24.75" customHeight="1" x14ac:dyDescent="0.25">
      <c r="A92" s="113"/>
      <c r="B92" s="284"/>
      <c r="C92" s="269"/>
      <c r="D92" s="19" t="s">
        <v>19</v>
      </c>
      <c r="E92" s="20">
        <f t="shared" si="26"/>
        <v>31882.1</v>
      </c>
      <c r="F92" s="21"/>
      <c r="G92" s="21">
        <v>0</v>
      </c>
      <c r="H92" s="21">
        <f>8495.3-756.9</f>
        <v>7738.4</v>
      </c>
      <c r="I92" s="21">
        <f>8495.3-227.9</f>
        <v>8267.4</v>
      </c>
      <c r="J92" s="21">
        <v>3721.1</v>
      </c>
      <c r="K92" s="21">
        <v>2584.3000000000002</v>
      </c>
      <c r="L92" s="21">
        <f>10327.5-3068.3-3284-1400-159.3</f>
        <v>2415.8999999999996</v>
      </c>
      <c r="M92" s="21">
        <f>2503.3-200</f>
        <v>2303.3000000000002</v>
      </c>
      <c r="N92" s="21">
        <f>5841.2-2800-1900-170</f>
        <v>971.19999999999982</v>
      </c>
      <c r="O92" s="21">
        <v>880.5</v>
      </c>
      <c r="P92" s="21">
        <v>1500</v>
      </c>
      <c r="Q92" s="21">
        <v>1500</v>
      </c>
      <c r="R92" s="38"/>
      <c r="S92" s="38"/>
      <c r="T92" s="2"/>
      <c r="U92" s="2"/>
    </row>
    <row r="93" spans="1:21" ht="29.95" customHeight="1" x14ac:dyDescent="0.25">
      <c r="A93" s="113"/>
      <c r="B93" s="285"/>
      <c r="C93" s="270"/>
      <c r="D93" s="19" t="s">
        <v>21</v>
      </c>
      <c r="E93" s="20">
        <f t="shared" si="26"/>
        <v>0</v>
      </c>
      <c r="F93" s="21"/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21">
        <v>0</v>
      </c>
      <c r="R93" s="38"/>
      <c r="S93" s="38"/>
      <c r="T93" s="2"/>
      <c r="U93" s="2"/>
    </row>
    <row r="94" spans="1:21" ht="31.95" customHeight="1" x14ac:dyDescent="0.25">
      <c r="A94" s="130" t="s">
        <v>55</v>
      </c>
      <c r="B94" s="242" t="s">
        <v>173</v>
      </c>
      <c r="C94" s="32"/>
      <c r="D94" s="19" t="s">
        <v>29</v>
      </c>
      <c r="E94" s="20">
        <f t="shared" si="26"/>
        <v>35340.199999999997</v>
      </c>
      <c r="F94" s="21"/>
      <c r="G94" s="21">
        <v>0</v>
      </c>
      <c r="H94" s="21">
        <v>0</v>
      </c>
      <c r="I94" s="21">
        <v>0</v>
      </c>
      <c r="J94" s="21">
        <f t="shared" ref="J94:Q94" si="30">SUM(J95:J97)</f>
        <v>4272.3999999999996</v>
      </c>
      <c r="K94" s="21">
        <f t="shared" si="30"/>
        <v>3460.7000000000003</v>
      </c>
      <c r="L94" s="21">
        <f t="shared" si="30"/>
        <v>3888.7999999999997</v>
      </c>
      <c r="M94" s="21">
        <f t="shared" si="30"/>
        <v>3851.7999999999997</v>
      </c>
      <c r="N94" s="21">
        <f t="shared" si="30"/>
        <v>4752</v>
      </c>
      <c r="O94" s="21">
        <f t="shared" si="30"/>
        <v>5110.1000000000004</v>
      </c>
      <c r="P94" s="21">
        <f t="shared" si="30"/>
        <v>5040.5</v>
      </c>
      <c r="Q94" s="21">
        <f t="shared" si="30"/>
        <v>4963.9000000000005</v>
      </c>
      <c r="R94" s="38"/>
      <c r="S94" s="38"/>
      <c r="T94" s="2">
        <v>4585</v>
      </c>
      <c r="U94" s="2"/>
    </row>
    <row r="95" spans="1:21" ht="25.55" customHeight="1" x14ac:dyDescent="0.25">
      <c r="A95" s="100"/>
      <c r="B95" s="243"/>
      <c r="C95" s="114"/>
      <c r="D95" s="19" t="s">
        <v>17</v>
      </c>
      <c r="E95" s="20">
        <f t="shared" si="26"/>
        <v>0</v>
      </c>
      <c r="F95" s="21"/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21">
        <v>0</v>
      </c>
      <c r="P95" s="21">
        <v>0</v>
      </c>
      <c r="Q95" s="21">
        <v>0</v>
      </c>
      <c r="R95" s="38"/>
      <c r="S95" s="38"/>
      <c r="T95" s="2"/>
      <c r="U95" s="2"/>
    </row>
    <row r="96" spans="1:21" ht="28.15" customHeight="1" x14ac:dyDescent="0.25">
      <c r="A96" s="100"/>
      <c r="B96" s="243"/>
      <c r="C96" s="114"/>
      <c r="D96" s="19" t="s">
        <v>18</v>
      </c>
      <c r="E96" s="20">
        <f t="shared" si="26"/>
        <v>32952.6</v>
      </c>
      <c r="F96" s="21"/>
      <c r="G96" s="21">
        <v>0</v>
      </c>
      <c r="H96" s="21">
        <v>0</v>
      </c>
      <c r="I96" s="21">
        <v>0</v>
      </c>
      <c r="J96" s="21">
        <v>4027.5</v>
      </c>
      <c r="K96" s="21">
        <v>3089.9</v>
      </c>
      <c r="L96" s="21">
        <f>3540.2-0.3</f>
        <v>3539.8999999999996</v>
      </c>
      <c r="M96" s="21">
        <f>4309.9-689.2</f>
        <v>3620.7</v>
      </c>
      <c r="N96" s="21">
        <f>4270+196.9</f>
        <v>4466.8999999999996</v>
      </c>
      <c r="O96" s="21">
        <f>4043.1+760.4</f>
        <v>4803.5</v>
      </c>
      <c r="P96" s="21">
        <v>4738.1000000000004</v>
      </c>
      <c r="Q96" s="21">
        <v>4666.1000000000004</v>
      </c>
      <c r="R96" s="38"/>
      <c r="S96" s="38"/>
      <c r="T96" s="2"/>
      <c r="U96" s="2"/>
    </row>
    <row r="97" spans="1:21" ht="22.95" customHeight="1" x14ac:dyDescent="0.25">
      <c r="A97" s="100"/>
      <c r="B97" s="243"/>
      <c r="C97" s="114"/>
      <c r="D97" s="19" t="s">
        <v>19</v>
      </c>
      <c r="E97" s="20">
        <f t="shared" si="26"/>
        <v>2387.6000000000004</v>
      </c>
      <c r="F97" s="21"/>
      <c r="G97" s="21">
        <v>0</v>
      </c>
      <c r="H97" s="21">
        <v>0</v>
      </c>
      <c r="I97" s="21">
        <v>0</v>
      </c>
      <c r="J97" s="21">
        <v>244.9</v>
      </c>
      <c r="K97" s="21">
        <v>370.8</v>
      </c>
      <c r="L97" s="21">
        <f>732.8-383.9</f>
        <v>348.9</v>
      </c>
      <c r="M97" s="21">
        <f>732.8-457.7-44</f>
        <v>231.09999999999997</v>
      </c>
      <c r="N97" s="21">
        <f>272.6+12.5</f>
        <v>285.10000000000002</v>
      </c>
      <c r="O97" s="21">
        <f>258.1+48.5</f>
        <v>306.60000000000002</v>
      </c>
      <c r="P97" s="21">
        <v>302.39999999999998</v>
      </c>
      <c r="Q97" s="21">
        <v>297.8</v>
      </c>
      <c r="R97" s="38"/>
      <c r="S97" s="38"/>
      <c r="T97" s="2"/>
      <c r="U97" s="2"/>
    </row>
    <row r="98" spans="1:21" ht="29.95" customHeight="1" x14ac:dyDescent="0.25">
      <c r="A98" s="108"/>
      <c r="B98" s="244"/>
      <c r="C98" s="115"/>
      <c r="D98" s="19" t="s">
        <v>21</v>
      </c>
      <c r="E98" s="20">
        <f t="shared" si="26"/>
        <v>0</v>
      </c>
      <c r="F98" s="21"/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21">
        <v>0</v>
      </c>
      <c r="Q98" s="21">
        <v>0</v>
      </c>
      <c r="R98" s="38"/>
      <c r="S98" s="38"/>
      <c r="T98" s="2"/>
      <c r="U98" s="2"/>
    </row>
    <row r="99" spans="1:21" ht="29.65" customHeight="1" x14ac:dyDescent="0.25">
      <c r="A99" s="286" t="s">
        <v>146</v>
      </c>
      <c r="B99" s="261" t="s">
        <v>147</v>
      </c>
      <c r="C99" s="117"/>
      <c r="D99" s="25" t="s">
        <v>29</v>
      </c>
      <c r="E99" s="26">
        <f t="shared" ref="E99:E108" si="31">SUM(F99:Q99)</f>
        <v>30628.400000000001</v>
      </c>
      <c r="F99" s="21"/>
      <c r="G99" s="21">
        <v>0</v>
      </c>
      <c r="H99" s="21">
        <v>0</v>
      </c>
      <c r="I99" s="21">
        <v>0</v>
      </c>
      <c r="J99" s="21">
        <f t="shared" ref="J99:Q99" si="32">SUM(J100:J102)</f>
        <v>0</v>
      </c>
      <c r="K99" s="21">
        <f t="shared" si="32"/>
        <v>17799.400000000001</v>
      </c>
      <c r="L99" s="21">
        <f t="shared" si="32"/>
        <v>12828.999999999998</v>
      </c>
      <c r="M99" s="21">
        <f t="shared" si="32"/>
        <v>0</v>
      </c>
      <c r="N99" s="21">
        <f t="shared" si="32"/>
        <v>0</v>
      </c>
      <c r="O99" s="21">
        <f t="shared" si="32"/>
        <v>0</v>
      </c>
      <c r="P99" s="21">
        <f t="shared" si="32"/>
        <v>0</v>
      </c>
      <c r="Q99" s="21">
        <f t="shared" si="32"/>
        <v>0</v>
      </c>
      <c r="R99" s="38"/>
      <c r="S99" s="38"/>
      <c r="T99" s="2"/>
      <c r="U99" s="2"/>
    </row>
    <row r="100" spans="1:21" ht="29" customHeight="1" x14ac:dyDescent="0.25">
      <c r="A100" s="287"/>
      <c r="B100" s="314"/>
      <c r="C100" s="117"/>
      <c r="D100" s="19" t="s">
        <v>17</v>
      </c>
      <c r="E100" s="20">
        <f t="shared" si="31"/>
        <v>0</v>
      </c>
      <c r="F100" s="21"/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  <c r="Q100" s="21">
        <v>0</v>
      </c>
      <c r="R100" s="38"/>
      <c r="S100" s="38"/>
      <c r="T100" s="2"/>
      <c r="U100" s="2"/>
    </row>
    <row r="101" spans="1:21" ht="24.4" customHeight="1" x14ac:dyDescent="0.25">
      <c r="A101" s="287"/>
      <c r="B101" s="314"/>
      <c r="C101" s="117"/>
      <c r="D101" s="19" t="s">
        <v>18</v>
      </c>
      <c r="E101" s="20">
        <f t="shared" si="31"/>
        <v>30628.400000000001</v>
      </c>
      <c r="F101" s="21"/>
      <c r="G101" s="21">
        <v>0</v>
      </c>
      <c r="H101" s="21">
        <v>0</v>
      </c>
      <c r="I101" s="21">
        <v>0</v>
      </c>
      <c r="J101" s="21">
        <v>0</v>
      </c>
      <c r="K101" s="21">
        <v>17799.400000000001</v>
      </c>
      <c r="L101" s="21">
        <f>40662+10165.5-25376.4-12622.1</f>
        <v>12828.999999999998</v>
      </c>
      <c r="M101" s="21">
        <v>0</v>
      </c>
      <c r="N101" s="21">
        <v>0</v>
      </c>
      <c r="O101" s="21">
        <v>0</v>
      </c>
      <c r="P101" s="21">
        <v>0</v>
      </c>
      <c r="Q101" s="21">
        <v>0</v>
      </c>
      <c r="R101" s="38"/>
      <c r="S101" s="38"/>
      <c r="T101" s="2"/>
      <c r="U101" s="2"/>
    </row>
    <row r="102" spans="1:21" ht="23.75" customHeight="1" x14ac:dyDescent="0.25">
      <c r="A102" s="287"/>
      <c r="B102" s="314"/>
      <c r="C102" s="117"/>
      <c r="D102" s="19" t="s">
        <v>19</v>
      </c>
      <c r="E102" s="20">
        <f t="shared" si="31"/>
        <v>0</v>
      </c>
      <c r="F102" s="21"/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21">
        <v>0</v>
      </c>
      <c r="R102" s="38"/>
      <c r="S102" s="38"/>
      <c r="T102" s="2"/>
      <c r="U102" s="2"/>
    </row>
    <row r="103" spans="1:21" ht="26.2" customHeight="1" x14ac:dyDescent="0.25">
      <c r="A103" s="287"/>
      <c r="B103" s="314"/>
      <c r="C103" s="117"/>
      <c r="D103" s="19" t="s">
        <v>21</v>
      </c>
      <c r="E103" s="20">
        <f t="shared" si="31"/>
        <v>0</v>
      </c>
      <c r="F103" s="21"/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21">
        <v>0</v>
      </c>
      <c r="P103" s="21">
        <v>0</v>
      </c>
      <c r="Q103" s="21">
        <v>0</v>
      </c>
      <c r="R103" s="38"/>
      <c r="S103" s="38"/>
      <c r="T103" s="2"/>
      <c r="U103" s="2"/>
    </row>
    <row r="104" spans="1:21" ht="20.95" customHeight="1" x14ac:dyDescent="0.25">
      <c r="A104" s="319" t="s">
        <v>157</v>
      </c>
      <c r="B104" s="242" t="s">
        <v>158</v>
      </c>
      <c r="C104" s="114"/>
      <c r="D104" s="19" t="s">
        <v>29</v>
      </c>
      <c r="E104" s="20">
        <f t="shared" si="31"/>
        <v>45254.5</v>
      </c>
      <c r="F104" s="21"/>
      <c r="G104" s="21">
        <v>0</v>
      </c>
      <c r="H104" s="21">
        <v>0</v>
      </c>
      <c r="I104" s="21">
        <v>0</v>
      </c>
      <c r="J104" s="21">
        <f t="shared" ref="J104:Q104" si="33">SUM(J105:J107)</f>
        <v>0</v>
      </c>
      <c r="K104" s="21">
        <f t="shared" si="33"/>
        <v>0</v>
      </c>
      <c r="L104" s="21">
        <f t="shared" si="33"/>
        <v>35457</v>
      </c>
      <c r="M104" s="21">
        <f t="shared" si="33"/>
        <v>6991.6</v>
      </c>
      <c r="N104" s="21">
        <f t="shared" si="33"/>
        <v>2805.9</v>
      </c>
      <c r="O104" s="21">
        <f t="shared" si="33"/>
        <v>0</v>
      </c>
      <c r="P104" s="21">
        <f t="shared" si="33"/>
        <v>0</v>
      </c>
      <c r="Q104" s="21">
        <f t="shared" si="33"/>
        <v>0</v>
      </c>
      <c r="R104" s="38"/>
      <c r="S104" s="38"/>
      <c r="T104" s="2">
        <v>6991.6</v>
      </c>
      <c r="U104" s="2"/>
    </row>
    <row r="105" spans="1:21" ht="20.3" customHeight="1" x14ac:dyDescent="0.25">
      <c r="A105" s="282"/>
      <c r="B105" s="243"/>
      <c r="C105" s="114"/>
      <c r="D105" s="19" t="s">
        <v>17</v>
      </c>
      <c r="E105" s="20">
        <f t="shared" si="31"/>
        <v>0</v>
      </c>
      <c r="F105" s="21"/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21">
        <v>0</v>
      </c>
      <c r="R105" s="38"/>
      <c r="S105" s="38"/>
      <c r="T105" s="2"/>
      <c r="U105" s="2"/>
    </row>
    <row r="106" spans="1:21" ht="39.799999999999997" customHeight="1" x14ac:dyDescent="0.25">
      <c r="A106" s="282"/>
      <c r="B106" s="243"/>
      <c r="C106" s="115"/>
      <c r="D106" s="19" t="s">
        <v>18</v>
      </c>
      <c r="E106" s="20">
        <f t="shared" si="31"/>
        <v>42539.199999999997</v>
      </c>
      <c r="F106" s="21"/>
      <c r="G106" s="21">
        <v>0</v>
      </c>
      <c r="H106" s="21">
        <v>0</v>
      </c>
      <c r="I106" s="21">
        <v>0</v>
      </c>
      <c r="J106" s="21">
        <v>0</v>
      </c>
      <c r="K106" s="21"/>
      <c r="L106" s="21">
        <v>33329.599999999999</v>
      </c>
      <c r="M106" s="21">
        <v>6572.1</v>
      </c>
      <c r="N106" s="21">
        <f>2646.2-8.7</f>
        <v>2637.5</v>
      </c>
      <c r="O106" s="21">
        <f>2054.3-2054.3</f>
        <v>0</v>
      </c>
      <c r="P106" s="21">
        <v>0</v>
      </c>
      <c r="Q106" s="21">
        <v>0</v>
      </c>
      <c r="R106" s="38"/>
      <c r="S106" s="38"/>
      <c r="T106" s="2"/>
      <c r="U106" s="2"/>
    </row>
    <row r="107" spans="1:21" ht="20.3" customHeight="1" x14ac:dyDescent="0.25">
      <c r="A107" s="100"/>
      <c r="B107" s="243"/>
      <c r="C107" s="114"/>
      <c r="D107" s="25" t="s">
        <v>19</v>
      </c>
      <c r="E107" s="26">
        <f t="shared" si="31"/>
        <v>2715.3</v>
      </c>
      <c r="F107" s="27"/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2127.4</v>
      </c>
      <c r="M107" s="27">
        <f>394.3+25.2</f>
        <v>419.5</v>
      </c>
      <c r="N107" s="27">
        <f>168.9-0.5</f>
        <v>168.4</v>
      </c>
      <c r="O107" s="27">
        <f>131.1-131.1</f>
        <v>0</v>
      </c>
      <c r="P107" s="27">
        <v>0</v>
      </c>
      <c r="Q107" s="27">
        <v>0</v>
      </c>
      <c r="R107" s="38"/>
      <c r="S107" s="38"/>
      <c r="T107" s="2"/>
      <c r="U107" s="2"/>
    </row>
    <row r="108" spans="1:21" ht="29.95" customHeight="1" x14ac:dyDescent="0.25">
      <c r="A108" s="108"/>
      <c r="B108" s="244"/>
      <c r="C108" s="114"/>
      <c r="D108" s="19" t="s">
        <v>21</v>
      </c>
      <c r="E108" s="20">
        <f t="shared" si="31"/>
        <v>0</v>
      </c>
      <c r="F108" s="21"/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1">
        <v>0</v>
      </c>
      <c r="Q108" s="21">
        <v>0</v>
      </c>
      <c r="R108" s="38"/>
      <c r="S108" s="38"/>
      <c r="T108" s="2"/>
      <c r="U108" s="2"/>
    </row>
    <row r="109" spans="1:21" ht="19.149999999999999" customHeight="1" x14ac:dyDescent="0.25">
      <c r="A109" s="306" t="s">
        <v>163</v>
      </c>
      <c r="B109" s="307" t="s">
        <v>164</v>
      </c>
      <c r="C109" s="215"/>
      <c r="D109" s="19" t="s">
        <v>29</v>
      </c>
      <c r="E109" s="20">
        <f>SUM(F109:Q109)</f>
        <v>277746.3</v>
      </c>
      <c r="F109" s="21"/>
      <c r="G109" s="21">
        <v>0</v>
      </c>
      <c r="H109" s="21">
        <v>0</v>
      </c>
      <c r="I109" s="21">
        <v>0</v>
      </c>
      <c r="J109" s="21">
        <f t="shared" ref="J109:Q109" si="34">SUM(J110:J112)</f>
        <v>0</v>
      </c>
      <c r="K109" s="21">
        <f t="shared" si="34"/>
        <v>0</v>
      </c>
      <c r="L109" s="21">
        <f t="shared" si="34"/>
        <v>10342</v>
      </c>
      <c r="M109" s="21">
        <f t="shared" si="34"/>
        <v>24225.8</v>
      </c>
      <c r="N109" s="21">
        <f t="shared" si="34"/>
        <v>38393.1</v>
      </c>
      <c r="O109" s="21">
        <f t="shared" si="34"/>
        <v>72944.600000000006</v>
      </c>
      <c r="P109" s="21">
        <f t="shared" si="34"/>
        <v>65985.899999999994</v>
      </c>
      <c r="Q109" s="21">
        <f t="shared" si="34"/>
        <v>65854.899999999994</v>
      </c>
      <c r="R109" s="38"/>
      <c r="S109" s="38"/>
      <c r="T109" s="2">
        <v>59090.5</v>
      </c>
      <c r="U109" s="2"/>
    </row>
    <row r="110" spans="1:21" ht="23.9" customHeight="1" x14ac:dyDescent="0.25">
      <c r="A110" s="267"/>
      <c r="B110" s="308"/>
      <c r="C110" s="215"/>
      <c r="D110" s="19" t="s">
        <v>17</v>
      </c>
      <c r="E110" s="20">
        <f>SUM(F110:Q110)</f>
        <v>0</v>
      </c>
      <c r="F110" s="21"/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21">
        <v>0</v>
      </c>
      <c r="R110" s="38"/>
      <c r="S110" s="38"/>
      <c r="T110" s="2"/>
      <c r="U110" s="2"/>
    </row>
    <row r="111" spans="1:21" ht="27.65" customHeight="1" x14ac:dyDescent="0.25">
      <c r="A111" s="267"/>
      <c r="B111" s="308"/>
      <c r="C111" s="215"/>
      <c r="D111" s="19" t="s">
        <v>18</v>
      </c>
      <c r="E111" s="20">
        <f>SUM(F111:Q111)</f>
        <v>0</v>
      </c>
      <c r="F111" s="21"/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21">
        <v>0</v>
      </c>
      <c r="R111" s="38"/>
      <c r="S111" s="38"/>
      <c r="T111" s="2"/>
      <c r="U111" s="2"/>
    </row>
    <row r="112" spans="1:21" ht="21.6" customHeight="1" x14ac:dyDescent="0.25">
      <c r="A112" s="267"/>
      <c r="B112" s="308"/>
      <c r="C112" s="215"/>
      <c r="D112" s="19" t="s">
        <v>19</v>
      </c>
      <c r="E112" s="20">
        <f>SUM(F112:Q112)</f>
        <v>277746.3</v>
      </c>
      <c r="F112" s="21"/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f>22767+1225-13650</f>
        <v>10342</v>
      </c>
      <c r="M112" s="21">
        <f>46648.7-22296.1-126.8</f>
        <v>24225.8</v>
      </c>
      <c r="N112" s="21">
        <f>9174.6+60140.1-27124.1+0.1-3797.6</f>
        <v>38393.1</v>
      </c>
      <c r="O112" s="21">
        <f>72836.6+108</f>
        <v>72944.600000000006</v>
      </c>
      <c r="P112" s="21">
        <v>65985.899999999994</v>
      </c>
      <c r="Q112" s="21">
        <v>65854.899999999994</v>
      </c>
      <c r="R112" s="38"/>
      <c r="S112" s="38"/>
      <c r="T112" s="2"/>
      <c r="U112" s="2"/>
    </row>
    <row r="113" spans="1:21" ht="23.75" customHeight="1" x14ac:dyDescent="0.25">
      <c r="A113" s="297"/>
      <c r="B113" s="34"/>
      <c r="C113" s="216"/>
      <c r="D113" s="19" t="s">
        <v>21</v>
      </c>
      <c r="E113" s="20"/>
      <c r="F113" s="21"/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  <c r="Q113" s="21">
        <v>0</v>
      </c>
      <c r="R113" s="38"/>
      <c r="S113" s="38"/>
      <c r="T113" s="2"/>
      <c r="U113" s="2"/>
    </row>
    <row r="114" spans="1:21" s="4" customFormat="1" ht="36.65" hidden="1" customHeight="1" x14ac:dyDescent="0.25">
      <c r="A114" s="23"/>
      <c r="B114" s="33"/>
      <c r="C114" s="35"/>
      <c r="D114" s="36"/>
      <c r="E114" s="37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82"/>
      <c r="R114" s="38"/>
      <c r="S114" s="38"/>
      <c r="T114" s="80"/>
      <c r="U114" s="80"/>
    </row>
    <row r="115" spans="1:21" ht="42.4" customHeight="1" x14ac:dyDescent="0.25">
      <c r="A115" s="305" t="s">
        <v>167</v>
      </c>
      <c r="B115" s="242" t="s">
        <v>180</v>
      </c>
      <c r="C115" s="39"/>
      <c r="D115" s="19" t="s">
        <v>29</v>
      </c>
      <c r="E115" s="20">
        <f>SUM(F115:Q115)</f>
        <v>86380</v>
      </c>
      <c r="F115" s="21"/>
      <c r="G115" s="21">
        <v>0</v>
      </c>
      <c r="H115" s="21">
        <v>0</v>
      </c>
      <c r="I115" s="21">
        <v>0</v>
      </c>
      <c r="J115" s="21">
        <f t="shared" ref="J115:Q115" si="35">SUM(J116:J118)</f>
        <v>0</v>
      </c>
      <c r="K115" s="21">
        <f t="shared" si="35"/>
        <v>0</v>
      </c>
      <c r="L115" s="21">
        <f t="shared" si="35"/>
        <v>10000</v>
      </c>
      <c r="M115" s="21">
        <f>SUM(M116:M118)</f>
        <v>18780</v>
      </c>
      <c r="N115" s="21">
        <f t="shared" si="35"/>
        <v>19200</v>
      </c>
      <c r="O115" s="21">
        <f t="shared" si="35"/>
        <v>19200</v>
      </c>
      <c r="P115" s="21">
        <f t="shared" si="35"/>
        <v>19200</v>
      </c>
      <c r="Q115" s="21">
        <f t="shared" si="35"/>
        <v>0</v>
      </c>
      <c r="R115" s="38"/>
      <c r="S115" s="38"/>
      <c r="T115" s="2"/>
      <c r="U115" s="2"/>
    </row>
    <row r="116" spans="1:21" ht="58.95" customHeight="1" x14ac:dyDescent="0.25">
      <c r="A116" s="305"/>
      <c r="B116" s="284"/>
      <c r="C116" s="39"/>
      <c r="D116" s="19" t="s">
        <v>17</v>
      </c>
      <c r="E116" s="20">
        <f>SUM(F116:Q116)</f>
        <v>0</v>
      </c>
      <c r="F116" s="21"/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21">
        <v>0</v>
      </c>
      <c r="O116" s="21">
        <v>0</v>
      </c>
      <c r="P116" s="21">
        <v>0</v>
      </c>
      <c r="Q116" s="21">
        <v>0</v>
      </c>
      <c r="R116" s="38"/>
      <c r="S116" s="38"/>
      <c r="T116" s="2"/>
      <c r="U116" s="2"/>
    </row>
    <row r="117" spans="1:21" ht="41.25" customHeight="1" x14ac:dyDescent="0.25">
      <c r="A117" s="305"/>
      <c r="B117" s="284"/>
      <c r="C117" s="39"/>
      <c r="D117" s="19" t="s">
        <v>18</v>
      </c>
      <c r="E117" s="20">
        <f>SUM(F117:Q117)</f>
        <v>81197.2</v>
      </c>
      <c r="F117" s="21"/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9400</v>
      </c>
      <c r="M117" s="21">
        <f>28200-9400-1146.8</f>
        <v>17653.2</v>
      </c>
      <c r="N117" s="21">
        <v>18048</v>
      </c>
      <c r="O117" s="21">
        <f>13536+4512</f>
        <v>18048</v>
      </c>
      <c r="P117" s="21">
        <v>18048</v>
      </c>
      <c r="Q117" s="21">
        <v>0</v>
      </c>
      <c r="R117" s="38"/>
      <c r="S117" s="38"/>
      <c r="T117" s="2"/>
      <c r="U117" s="2"/>
    </row>
    <row r="118" spans="1:21" ht="41.25" customHeight="1" x14ac:dyDescent="0.25">
      <c r="A118" s="305"/>
      <c r="B118" s="284"/>
      <c r="C118" s="39"/>
      <c r="D118" s="19" t="s">
        <v>19</v>
      </c>
      <c r="E118" s="20">
        <f>SUM(F118:Q118)</f>
        <v>5182.8</v>
      </c>
      <c r="F118" s="21"/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600</v>
      </c>
      <c r="M118" s="21">
        <f>1800-600-73.2</f>
        <v>1126.8</v>
      </c>
      <c r="N118" s="21">
        <v>1152</v>
      </c>
      <c r="O118" s="21">
        <f>864+288</f>
        <v>1152</v>
      </c>
      <c r="P118" s="21">
        <v>1152</v>
      </c>
      <c r="Q118" s="21">
        <v>0</v>
      </c>
      <c r="R118" s="38"/>
      <c r="S118" s="38"/>
      <c r="T118" s="2"/>
      <c r="U118" s="2"/>
    </row>
    <row r="119" spans="1:21" ht="78.75" customHeight="1" x14ac:dyDescent="0.25">
      <c r="A119" s="305"/>
      <c r="B119" s="285"/>
      <c r="C119" s="39"/>
      <c r="D119" s="19" t="s">
        <v>21</v>
      </c>
      <c r="E119" s="20">
        <f>SUM(F119:Q119)</f>
        <v>0</v>
      </c>
      <c r="F119" s="21"/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21">
        <v>0</v>
      </c>
      <c r="N119" s="21">
        <v>0</v>
      </c>
      <c r="O119" s="21">
        <v>0</v>
      </c>
      <c r="P119" s="21">
        <v>0</v>
      </c>
      <c r="Q119" s="21">
        <v>0</v>
      </c>
      <c r="R119" s="38"/>
      <c r="S119" s="38"/>
      <c r="T119" s="2"/>
      <c r="U119" s="2"/>
    </row>
    <row r="120" spans="1:21" ht="26.85" customHeight="1" x14ac:dyDescent="0.25">
      <c r="A120" s="306" t="s">
        <v>168</v>
      </c>
      <c r="B120" s="307" t="s">
        <v>241</v>
      </c>
      <c r="C120" s="114"/>
      <c r="D120" s="19" t="s">
        <v>29</v>
      </c>
      <c r="E120" s="20">
        <f t="shared" ref="E120:E129" si="36">SUM(F120:Q120)</f>
        <v>735380.1</v>
      </c>
      <c r="F120" s="21"/>
      <c r="G120" s="21">
        <v>0</v>
      </c>
      <c r="H120" s="21">
        <v>0</v>
      </c>
      <c r="I120" s="21">
        <v>0</v>
      </c>
      <c r="J120" s="21">
        <f t="shared" ref="J120:Q120" si="37">SUM(J121:J123)</f>
        <v>0</v>
      </c>
      <c r="K120" s="21">
        <f t="shared" si="37"/>
        <v>0</v>
      </c>
      <c r="L120" s="21">
        <f t="shared" si="37"/>
        <v>47172.4</v>
      </c>
      <c r="M120" s="21">
        <f t="shared" si="37"/>
        <v>140696.6</v>
      </c>
      <c r="N120" s="21">
        <f>SUM(N121:N123)</f>
        <v>133059</v>
      </c>
      <c r="O120" s="21">
        <f t="shared" si="37"/>
        <v>138108.6</v>
      </c>
      <c r="P120" s="21">
        <f t="shared" si="37"/>
        <v>138108.6</v>
      </c>
      <c r="Q120" s="21">
        <f t="shared" si="37"/>
        <v>138234.9</v>
      </c>
      <c r="R120" s="38"/>
      <c r="S120" s="38"/>
      <c r="T120" s="2">
        <v>141517.29999999999</v>
      </c>
      <c r="U120" s="2"/>
    </row>
    <row r="121" spans="1:21" ht="22.95" customHeight="1" x14ac:dyDescent="0.25">
      <c r="A121" s="267"/>
      <c r="B121" s="308"/>
      <c r="C121" s="114"/>
      <c r="D121" s="19" t="s">
        <v>17</v>
      </c>
      <c r="E121" s="20">
        <f>SUM(F121:Q121)</f>
        <v>508209.6</v>
      </c>
      <c r="F121" s="21"/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21">
        <f>131358.8-3398.2-4452.8-0.1</f>
        <v>123507.69999999998</v>
      </c>
      <c r="O121" s="21">
        <f>131358.8-2929.5-234.4</f>
        <v>128194.9</v>
      </c>
      <c r="P121" s="21">
        <f>120226.7+8202.6-234.4</f>
        <v>128194.90000000001</v>
      </c>
      <c r="Q121" s="21">
        <v>128312.1</v>
      </c>
      <c r="R121" s="38"/>
      <c r="S121" s="38"/>
      <c r="T121" s="2"/>
      <c r="U121" s="2"/>
    </row>
    <row r="122" spans="1:21" ht="24.4" customHeight="1" x14ac:dyDescent="0.25">
      <c r="A122" s="267"/>
      <c r="B122" s="308"/>
      <c r="C122" s="114"/>
      <c r="D122" s="19" t="s">
        <v>18</v>
      </c>
      <c r="E122" s="20">
        <f t="shared" si="36"/>
        <v>227170.50000000003</v>
      </c>
      <c r="F122" s="21"/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f>42887.9+2859.2+457.5+9.6+898.4+59.9-0.1</f>
        <v>47172.4</v>
      </c>
      <c r="M122" s="21">
        <f>128663.6+8577.6+1372.4+2903.7-252.6-568.1</f>
        <v>140696.6</v>
      </c>
      <c r="N122" s="21">
        <f>128663.6+8577.6+1372.4+2903.7-0.1-131358.8-262.8-344.4+0.1</f>
        <v>9551.3000000000247</v>
      </c>
      <c r="O122" s="21">
        <f>8562+1369.9-18.2</f>
        <v>9913.6999999999989</v>
      </c>
      <c r="P122" s="21">
        <f>8562+1369.9-18.2</f>
        <v>9913.6999999999989</v>
      </c>
      <c r="Q122" s="21">
        <v>9922.7999999999993</v>
      </c>
      <c r="R122" s="38"/>
      <c r="S122" s="38"/>
      <c r="T122" s="2"/>
      <c r="U122" s="2"/>
    </row>
    <row r="123" spans="1:21" ht="24.9" customHeight="1" x14ac:dyDescent="0.25">
      <c r="A123" s="267"/>
      <c r="B123" s="308"/>
      <c r="C123" s="114"/>
      <c r="D123" s="19" t="s">
        <v>19</v>
      </c>
      <c r="E123" s="20">
        <f t="shared" si="36"/>
        <v>0</v>
      </c>
      <c r="F123" s="21"/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21">
        <v>0</v>
      </c>
      <c r="R123" s="38"/>
      <c r="S123" s="38"/>
      <c r="T123" s="2"/>
      <c r="U123" s="2"/>
    </row>
    <row r="124" spans="1:21" ht="30.8" customHeight="1" x14ac:dyDescent="0.25">
      <c r="A124" s="267"/>
      <c r="B124" s="309"/>
      <c r="C124" s="115"/>
      <c r="D124" s="19" t="s">
        <v>21</v>
      </c>
      <c r="E124" s="20">
        <f t="shared" si="36"/>
        <v>0</v>
      </c>
      <c r="F124" s="21"/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1">
        <v>0</v>
      </c>
      <c r="O124" s="21">
        <v>0</v>
      </c>
      <c r="P124" s="21">
        <v>0</v>
      </c>
      <c r="Q124" s="21">
        <v>0</v>
      </c>
      <c r="R124" s="38"/>
      <c r="S124" s="38"/>
      <c r="T124" s="2"/>
      <c r="U124" s="2"/>
    </row>
    <row r="125" spans="1:21" ht="24.9" customHeight="1" x14ac:dyDescent="0.25">
      <c r="A125" s="310" t="s">
        <v>170</v>
      </c>
      <c r="B125" s="242" t="s">
        <v>171</v>
      </c>
      <c r="C125" s="114"/>
      <c r="D125" s="19" t="s">
        <v>29</v>
      </c>
      <c r="E125" s="20">
        <f t="shared" si="36"/>
        <v>838523.3</v>
      </c>
      <c r="F125" s="21"/>
      <c r="G125" s="21">
        <v>0</v>
      </c>
      <c r="H125" s="21">
        <v>0</v>
      </c>
      <c r="I125" s="21">
        <v>0</v>
      </c>
      <c r="J125" s="21">
        <f t="shared" ref="J125:Q125" si="38">SUM(J126:J128)</f>
        <v>0</v>
      </c>
      <c r="K125" s="21">
        <f t="shared" si="38"/>
        <v>0</v>
      </c>
      <c r="L125" s="21">
        <f>SUM(L126:L128)</f>
        <v>67636</v>
      </c>
      <c r="M125" s="21">
        <f t="shared" si="38"/>
        <v>138862.29999999999</v>
      </c>
      <c r="N125" s="21">
        <f t="shared" si="38"/>
        <v>161576.29999999999</v>
      </c>
      <c r="O125" s="21">
        <f t="shared" si="38"/>
        <v>158101.30000000002</v>
      </c>
      <c r="P125" s="21">
        <f t="shared" si="38"/>
        <v>158101.30000000002</v>
      </c>
      <c r="Q125" s="21">
        <f t="shared" si="38"/>
        <v>154246.1</v>
      </c>
      <c r="R125" s="38"/>
      <c r="S125" s="38"/>
      <c r="T125" s="2">
        <v>138862.29999999999</v>
      </c>
      <c r="U125" s="2"/>
    </row>
    <row r="126" spans="1:21" ht="26.85" customHeight="1" x14ac:dyDescent="0.25">
      <c r="A126" s="289"/>
      <c r="B126" s="243"/>
      <c r="C126" s="114"/>
      <c r="D126" s="19" t="s">
        <v>17</v>
      </c>
      <c r="E126" s="20">
        <f t="shared" si="36"/>
        <v>630425.30000000005</v>
      </c>
      <c r="F126" s="21"/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f>159976.6</f>
        <v>159976.6</v>
      </c>
      <c r="O126" s="21">
        <f>150207.1+7894.2</f>
        <v>158101.30000000002</v>
      </c>
      <c r="P126" s="21">
        <f>150629.1+7472.2</f>
        <v>158101.30000000002</v>
      </c>
      <c r="Q126" s="21">
        <f>154246+0.1</f>
        <v>154246.1</v>
      </c>
      <c r="R126" s="38"/>
      <c r="S126" s="38"/>
      <c r="T126" s="2"/>
      <c r="U126" s="2"/>
    </row>
    <row r="127" spans="1:21" ht="27.65" customHeight="1" x14ac:dyDescent="0.25">
      <c r="A127" s="113"/>
      <c r="B127" s="243"/>
      <c r="C127" s="114"/>
      <c r="D127" s="19" t="s">
        <v>18</v>
      </c>
      <c r="E127" s="20">
        <f t="shared" si="36"/>
        <v>200273.49999999997</v>
      </c>
      <c r="F127" s="21"/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f>54924+549.2+43+4295.2+0.1</f>
        <v>59811.499999999993</v>
      </c>
      <c r="M127" s="21">
        <f>137487.4+1374.9</f>
        <v>138862.29999999999</v>
      </c>
      <c r="N127" s="21">
        <f>153179.4+8396.9-159976.6</f>
        <v>1599.6999999999825</v>
      </c>
      <c r="O127" s="21">
        <f>1705.1-1705.1</f>
        <v>0</v>
      </c>
      <c r="P127" s="21">
        <f>1709.3-1709.3</f>
        <v>0</v>
      </c>
      <c r="Q127" s="21">
        <f>203.1-203.1</f>
        <v>0</v>
      </c>
      <c r="R127" s="38"/>
      <c r="S127" s="38"/>
      <c r="T127" s="2"/>
      <c r="U127" s="2"/>
    </row>
    <row r="128" spans="1:21" ht="32.1" customHeight="1" x14ac:dyDescent="0.25">
      <c r="A128" s="113"/>
      <c r="B128" s="243"/>
      <c r="C128" s="115"/>
      <c r="D128" s="19" t="s">
        <v>19</v>
      </c>
      <c r="E128" s="20">
        <f t="shared" si="36"/>
        <v>7824.5</v>
      </c>
      <c r="F128" s="21"/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f>7824.5</f>
        <v>7824.5</v>
      </c>
      <c r="M128" s="21">
        <v>0</v>
      </c>
      <c r="N128" s="21">
        <v>0</v>
      </c>
      <c r="O128" s="21">
        <v>0</v>
      </c>
      <c r="P128" s="21">
        <v>0</v>
      </c>
      <c r="Q128" s="21">
        <v>0</v>
      </c>
      <c r="R128" s="38"/>
      <c r="S128" s="38"/>
      <c r="T128" s="2"/>
      <c r="U128" s="2"/>
    </row>
    <row r="129" spans="1:21" ht="37.5" customHeight="1" x14ac:dyDescent="0.25">
      <c r="A129" s="127"/>
      <c r="B129" s="244"/>
      <c r="C129" s="114"/>
      <c r="D129" s="25" t="s">
        <v>21</v>
      </c>
      <c r="E129" s="20">
        <f t="shared" si="36"/>
        <v>0</v>
      </c>
      <c r="F129" s="21"/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21">
        <v>0</v>
      </c>
      <c r="N129" s="21">
        <v>0</v>
      </c>
      <c r="O129" s="21">
        <v>0</v>
      </c>
      <c r="P129" s="21">
        <v>0</v>
      </c>
      <c r="Q129" s="21">
        <v>0</v>
      </c>
      <c r="R129" s="38"/>
      <c r="S129" s="38"/>
      <c r="T129" s="2"/>
      <c r="U129" s="2"/>
    </row>
    <row r="130" spans="1:21" ht="26.85" customHeight="1" x14ac:dyDescent="0.25">
      <c r="A130" s="310" t="s">
        <v>177</v>
      </c>
      <c r="B130" s="242" t="s">
        <v>178</v>
      </c>
      <c r="C130" s="117"/>
      <c r="D130" s="19" t="s">
        <v>29</v>
      </c>
      <c r="E130" s="20">
        <f t="shared" ref="E130:E144" si="39">SUM(F130:Q130)</f>
        <v>4145.3</v>
      </c>
      <c r="F130" s="21"/>
      <c r="G130" s="21">
        <v>0</v>
      </c>
      <c r="H130" s="21">
        <v>0</v>
      </c>
      <c r="I130" s="21">
        <v>0</v>
      </c>
      <c r="J130" s="21">
        <f t="shared" ref="J130:Q130" si="40">SUM(J131:J133)</f>
        <v>0</v>
      </c>
      <c r="K130" s="21">
        <f t="shared" si="40"/>
        <v>0</v>
      </c>
      <c r="L130" s="21">
        <f t="shared" si="40"/>
        <v>1954.2</v>
      </c>
      <c r="M130" s="21">
        <f t="shared" si="40"/>
        <v>200</v>
      </c>
      <c r="N130" s="21">
        <f t="shared" si="40"/>
        <v>688.9</v>
      </c>
      <c r="O130" s="21">
        <f t="shared" si="40"/>
        <v>390</v>
      </c>
      <c r="P130" s="21">
        <f t="shared" si="40"/>
        <v>459.5</v>
      </c>
      <c r="Q130" s="21">
        <f t="shared" si="40"/>
        <v>452.7</v>
      </c>
      <c r="R130" s="38"/>
      <c r="S130" s="38"/>
      <c r="T130" s="2">
        <v>200</v>
      </c>
      <c r="U130" s="2"/>
    </row>
    <row r="131" spans="1:21" ht="30.8" customHeight="1" x14ac:dyDescent="0.25">
      <c r="A131" s="287"/>
      <c r="B131" s="284"/>
      <c r="C131" s="117"/>
      <c r="D131" s="19" t="s">
        <v>17</v>
      </c>
      <c r="E131" s="20">
        <f t="shared" si="39"/>
        <v>0</v>
      </c>
      <c r="F131" s="21"/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21">
        <v>0</v>
      </c>
      <c r="R131" s="38"/>
      <c r="S131" s="38"/>
      <c r="T131" s="2"/>
      <c r="U131" s="2"/>
    </row>
    <row r="132" spans="1:21" ht="37.35" customHeight="1" x14ac:dyDescent="0.25">
      <c r="A132" s="287"/>
      <c r="B132" s="284"/>
      <c r="C132" s="117"/>
      <c r="D132" s="19" t="s">
        <v>18</v>
      </c>
      <c r="E132" s="20">
        <f t="shared" si="39"/>
        <v>0</v>
      </c>
      <c r="F132" s="21"/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21">
        <v>0</v>
      </c>
      <c r="O132" s="21">
        <v>0</v>
      </c>
      <c r="P132" s="21">
        <v>0</v>
      </c>
      <c r="Q132" s="21">
        <v>0</v>
      </c>
      <c r="R132" s="38"/>
      <c r="S132" s="38"/>
      <c r="T132" s="2"/>
      <c r="U132" s="2"/>
    </row>
    <row r="133" spans="1:21" ht="29.95" customHeight="1" x14ac:dyDescent="0.25">
      <c r="A133" s="287"/>
      <c r="B133" s="284"/>
      <c r="C133" s="117"/>
      <c r="D133" s="19" t="s">
        <v>19</v>
      </c>
      <c r="E133" s="20">
        <f t="shared" si="39"/>
        <v>4145.3</v>
      </c>
      <c r="F133" s="21"/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1954.2</v>
      </c>
      <c r="M133" s="21">
        <v>200</v>
      </c>
      <c r="N133" s="21">
        <v>688.9</v>
      </c>
      <c r="O133" s="21">
        <v>390</v>
      </c>
      <c r="P133" s="21">
        <v>459.5</v>
      </c>
      <c r="Q133" s="21">
        <v>452.7</v>
      </c>
      <c r="R133" s="38"/>
      <c r="S133" s="38"/>
      <c r="T133" s="2"/>
      <c r="U133" s="2"/>
    </row>
    <row r="134" spans="1:21" ht="76.099999999999994" customHeight="1" x14ac:dyDescent="0.25">
      <c r="A134" s="316"/>
      <c r="B134" s="285"/>
      <c r="C134" s="117"/>
      <c r="D134" s="19" t="s">
        <v>21</v>
      </c>
      <c r="E134" s="20">
        <f t="shared" si="39"/>
        <v>0</v>
      </c>
      <c r="F134" s="21"/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21">
        <v>0</v>
      </c>
      <c r="R134" s="38"/>
      <c r="S134" s="38"/>
      <c r="T134" s="2"/>
      <c r="U134" s="2"/>
    </row>
    <row r="135" spans="1:21" ht="25.55" customHeight="1" x14ac:dyDescent="0.25">
      <c r="A135" s="317" t="s">
        <v>183</v>
      </c>
      <c r="B135" s="247" t="s">
        <v>185</v>
      </c>
      <c r="C135" s="114"/>
      <c r="D135" s="19" t="s">
        <v>29</v>
      </c>
      <c r="E135" s="20">
        <f t="shared" si="39"/>
        <v>272437.7</v>
      </c>
      <c r="F135" s="21"/>
      <c r="G135" s="21">
        <v>0</v>
      </c>
      <c r="H135" s="21">
        <v>0</v>
      </c>
      <c r="I135" s="21">
        <v>0</v>
      </c>
      <c r="J135" s="21">
        <f t="shared" ref="J135:Q135" si="41">SUM(J136:J138)</f>
        <v>0</v>
      </c>
      <c r="K135" s="21">
        <f t="shared" si="41"/>
        <v>0</v>
      </c>
      <c r="L135" s="21">
        <f t="shared" si="41"/>
        <v>0</v>
      </c>
      <c r="M135" s="21">
        <f t="shared" si="41"/>
        <v>53172.200000000004</v>
      </c>
      <c r="N135" s="21">
        <f t="shared" si="41"/>
        <v>69017.600000000006</v>
      </c>
      <c r="O135" s="21">
        <f t="shared" si="41"/>
        <v>71726.299999999988</v>
      </c>
      <c r="P135" s="21">
        <f t="shared" si="41"/>
        <v>39552.699999999997</v>
      </c>
      <c r="Q135" s="21">
        <f t="shared" si="41"/>
        <v>38968.9</v>
      </c>
      <c r="R135" s="38"/>
      <c r="S135" s="38"/>
      <c r="T135" s="2">
        <v>33979.800000000003</v>
      </c>
      <c r="U135" s="2"/>
    </row>
    <row r="136" spans="1:21" ht="32.9" customHeight="1" x14ac:dyDescent="0.25">
      <c r="A136" s="318"/>
      <c r="B136" s="241"/>
      <c r="C136" s="114"/>
      <c r="D136" s="19" t="s">
        <v>17</v>
      </c>
      <c r="E136" s="20">
        <f t="shared" si="39"/>
        <v>0</v>
      </c>
      <c r="F136" s="21"/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21">
        <v>0</v>
      </c>
      <c r="N136" s="21">
        <v>0</v>
      </c>
      <c r="O136" s="21">
        <v>0</v>
      </c>
      <c r="P136" s="21">
        <v>0</v>
      </c>
      <c r="Q136" s="21">
        <v>0</v>
      </c>
      <c r="R136" s="38"/>
      <c r="S136" s="38"/>
      <c r="T136" s="2"/>
      <c r="U136" s="2"/>
    </row>
    <row r="137" spans="1:21" ht="34.85" customHeight="1" x14ac:dyDescent="0.25">
      <c r="A137" s="318"/>
      <c r="B137" s="241"/>
      <c r="C137" s="115"/>
      <c r="D137" s="19" t="s">
        <v>18</v>
      </c>
      <c r="E137" s="20">
        <f t="shared" si="39"/>
        <v>0</v>
      </c>
      <c r="F137" s="21"/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21">
        <v>0</v>
      </c>
      <c r="N137" s="21">
        <v>0</v>
      </c>
      <c r="O137" s="21">
        <v>0</v>
      </c>
      <c r="P137" s="21">
        <v>0</v>
      </c>
      <c r="Q137" s="21">
        <v>0</v>
      </c>
      <c r="R137" s="38"/>
      <c r="S137" s="38"/>
      <c r="T137" s="2"/>
      <c r="U137" s="2"/>
    </row>
    <row r="138" spans="1:21" ht="31.6" customHeight="1" x14ac:dyDescent="0.25">
      <c r="A138" s="100"/>
      <c r="B138" s="125"/>
      <c r="C138" s="115"/>
      <c r="D138" s="25" t="s">
        <v>19</v>
      </c>
      <c r="E138" s="26">
        <f t="shared" si="39"/>
        <v>272437.7</v>
      </c>
      <c r="F138" s="27"/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f>46979.8+6192.4</f>
        <v>53172.200000000004</v>
      </c>
      <c r="N138" s="27">
        <f>28728.2+6929.6+900+14235+7878.8+5357.3+3861.5+1127.2</f>
        <v>69017.600000000006</v>
      </c>
      <c r="O138" s="372">
        <f>33564.2+2494.6+400+10810.4+24457.1</f>
        <v>71726.299999999988</v>
      </c>
      <c r="P138" s="27">
        <v>39552.699999999997</v>
      </c>
      <c r="Q138" s="27">
        <v>38968.9</v>
      </c>
      <c r="R138" s="38"/>
      <c r="S138" s="38"/>
      <c r="T138" s="2"/>
      <c r="U138" s="2"/>
    </row>
    <row r="139" spans="1:21" ht="28.15" customHeight="1" x14ac:dyDescent="0.25">
      <c r="A139" s="100"/>
      <c r="B139" s="125"/>
      <c r="C139" s="114"/>
      <c r="D139" s="25" t="s">
        <v>21</v>
      </c>
      <c r="E139" s="20">
        <f t="shared" si="39"/>
        <v>0</v>
      </c>
      <c r="F139" s="21"/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21">
        <v>0</v>
      </c>
      <c r="O139" s="21">
        <v>0</v>
      </c>
      <c r="P139" s="21">
        <v>0</v>
      </c>
      <c r="Q139" s="21">
        <v>0</v>
      </c>
      <c r="R139" s="38"/>
      <c r="S139" s="38"/>
      <c r="T139" s="2"/>
      <c r="U139" s="2"/>
    </row>
    <row r="140" spans="1:21" ht="33.4" customHeight="1" x14ac:dyDescent="0.25">
      <c r="A140" s="222" t="s">
        <v>186</v>
      </c>
      <c r="B140" s="242" t="s">
        <v>193</v>
      </c>
      <c r="C140" s="215"/>
      <c r="D140" s="19" t="s">
        <v>29</v>
      </c>
      <c r="E140" s="20">
        <f t="shared" si="39"/>
        <v>812</v>
      </c>
      <c r="F140" s="21"/>
      <c r="G140" s="21">
        <v>0</v>
      </c>
      <c r="H140" s="21">
        <v>0</v>
      </c>
      <c r="I140" s="21">
        <v>0</v>
      </c>
      <c r="J140" s="21">
        <f t="shared" ref="J140:Q140" si="42">SUM(J141:J143)</f>
        <v>0</v>
      </c>
      <c r="K140" s="21">
        <f t="shared" si="42"/>
        <v>0</v>
      </c>
      <c r="L140" s="21">
        <f t="shared" si="42"/>
        <v>0</v>
      </c>
      <c r="M140" s="21">
        <f t="shared" si="42"/>
        <v>812</v>
      </c>
      <c r="N140" s="21">
        <f t="shared" si="42"/>
        <v>0</v>
      </c>
      <c r="O140" s="21">
        <f t="shared" si="42"/>
        <v>0</v>
      </c>
      <c r="P140" s="21">
        <f t="shared" si="42"/>
        <v>0</v>
      </c>
      <c r="Q140" s="21">
        <f t="shared" si="42"/>
        <v>0</v>
      </c>
      <c r="R140" s="38"/>
      <c r="S140" s="38"/>
      <c r="T140" s="2">
        <v>812</v>
      </c>
      <c r="U140" s="2"/>
    </row>
    <row r="141" spans="1:21" ht="33.4" customHeight="1" x14ac:dyDescent="0.25">
      <c r="A141" s="209"/>
      <c r="B141" s="284"/>
      <c r="C141" s="215"/>
      <c r="D141" s="19" t="s">
        <v>17</v>
      </c>
      <c r="E141" s="20">
        <f t="shared" si="39"/>
        <v>0</v>
      </c>
      <c r="F141" s="21"/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21">
        <v>0</v>
      </c>
      <c r="O141" s="21">
        <v>0</v>
      </c>
      <c r="P141" s="21">
        <v>0</v>
      </c>
      <c r="Q141" s="21">
        <v>0</v>
      </c>
      <c r="R141" s="38"/>
      <c r="S141" s="38"/>
      <c r="T141" s="2"/>
      <c r="U141" s="2"/>
    </row>
    <row r="142" spans="1:21" ht="33.4" customHeight="1" x14ac:dyDescent="0.25">
      <c r="A142" s="169"/>
      <c r="B142" s="285"/>
      <c r="C142" s="216"/>
      <c r="D142" s="19" t="s">
        <v>18</v>
      </c>
      <c r="E142" s="20">
        <f t="shared" si="39"/>
        <v>0</v>
      </c>
      <c r="F142" s="21"/>
      <c r="G142" s="21">
        <v>0</v>
      </c>
      <c r="H142" s="21">
        <v>0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  <c r="Q142" s="21">
        <v>0</v>
      </c>
      <c r="R142" s="38"/>
      <c r="S142" s="38"/>
      <c r="T142" s="2"/>
      <c r="U142" s="2"/>
    </row>
    <row r="143" spans="1:21" ht="52.4" customHeight="1" x14ac:dyDescent="0.25">
      <c r="A143" s="100"/>
      <c r="B143" s="125"/>
      <c r="C143" s="115"/>
      <c r="D143" s="25" t="s">
        <v>19</v>
      </c>
      <c r="E143" s="26">
        <f t="shared" si="39"/>
        <v>812</v>
      </c>
      <c r="F143" s="27"/>
      <c r="G143" s="27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f>562+250</f>
        <v>812</v>
      </c>
      <c r="N143" s="27">
        <v>0</v>
      </c>
      <c r="O143" s="27">
        <v>0</v>
      </c>
      <c r="P143" s="27">
        <v>0</v>
      </c>
      <c r="Q143" s="27">
        <v>0</v>
      </c>
      <c r="R143" s="38"/>
      <c r="S143" s="38"/>
      <c r="T143" s="2"/>
      <c r="U143" s="2"/>
    </row>
    <row r="144" spans="1:21" ht="44.05" customHeight="1" x14ac:dyDescent="0.25">
      <c r="A144" s="108"/>
      <c r="B144" s="126"/>
      <c r="C144" s="114"/>
      <c r="D144" s="25" t="s">
        <v>21</v>
      </c>
      <c r="E144" s="26">
        <f t="shared" si="39"/>
        <v>0</v>
      </c>
      <c r="F144" s="27"/>
      <c r="G144" s="27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38"/>
      <c r="S144" s="38"/>
      <c r="T144" s="2"/>
      <c r="U144" s="2"/>
    </row>
    <row r="145" spans="1:21" ht="51.05" customHeight="1" x14ac:dyDescent="0.25">
      <c r="A145" s="99" t="s">
        <v>201</v>
      </c>
      <c r="B145" s="242" t="s">
        <v>202</v>
      </c>
      <c r="C145" s="114"/>
      <c r="D145" s="19" t="s">
        <v>29</v>
      </c>
      <c r="E145" s="20">
        <f t="shared" ref="E145:E159" si="43">SUM(F145:Q145)</f>
        <v>1859.5</v>
      </c>
      <c r="F145" s="21"/>
      <c r="G145" s="21">
        <v>0</v>
      </c>
      <c r="H145" s="21">
        <v>0</v>
      </c>
      <c r="I145" s="21">
        <v>0</v>
      </c>
      <c r="J145" s="21">
        <f t="shared" ref="J145:Q145" si="44">SUM(J146:J148)</f>
        <v>0</v>
      </c>
      <c r="K145" s="21">
        <f t="shared" si="44"/>
        <v>0</v>
      </c>
      <c r="L145" s="21">
        <f t="shared" si="44"/>
        <v>0</v>
      </c>
      <c r="M145" s="21">
        <f t="shared" si="44"/>
        <v>0</v>
      </c>
      <c r="N145" s="21">
        <f t="shared" si="44"/>
        <v>190.89999999999998</v>
      </c>
      <c r="O145" s="21">
        <f t="shared" si="44"/>
        <v>339.40000000000003</v>
      </c>
      <c r="P145" s="21">
        <f t="shared" si="44"/>
        <v>664.6</v>
      </c>
      <c r="Q145" s="21">
        <f t="shared" si="44"/>
        <v>664.6</v>
      </c>
      <c r="R145" s="38"/>
      <c r="S145" s="38"/>
      <c r="T145" s="2"/>
      <c r="U145" s="2"/>
    </row>
    <row r="146" spans="1:21" ht="53.2" customHeight="1" x14ac:dyDescent="0.25">
      <c r="A146" s="100"/>
      <c r="B146" s="243"/>
      <c r="C146" s="114"/>
      <c r="D146" s="19" t="s">
        <v>17</v>
      </c>
      <c r="E146" s="20">
        <f t="shared" si="43"/>
        <v>0</v>
      </c>
      <c r="F146" s="21"/>
      <c r="G146" s="21">
        <v>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  <c r="Q146" s="21">
        <v>0</v>
      </c>
      <c r="R146" s="38"/>
      <c r="S146" s="38"/>
      <c r="T146" s="2"/>
      <c r="U146" s="2"/>
    </row>
    <row r="147" spans="1:21" ht="46" customHeight="1" x14ac:dyDescent="0.25">
      <c r="A147" s="100"/>
      <c r="B147" s="243"/>
      <c r="C147" s="114"/>
      <c r="D147" s="19" t="s">
        <v>18</v>
      </c>
      <c r="E147" s="20">
        <f t="shared" si="43"/>
        <v>1859.5</v>
      </c>
      <c r="F147" s="21"/>
      <c r="G147" s="21"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f>395.9-205</f>
        <v>190.89999999999998</v>
      </c>
      <c r="O147" s="21">
        <f>664.6-325.2</f>
        <v>339.40000000000003</v>
      </c>
      <c r="P147" s="45">
        <v>664.6</v>
      </c>
      <c r="Q147" s="21">
        <v>664.6</v>
      </c>
      <c r="R147" s="38"/>
      <c r="S147" s="38"/>
      <c r="T147" s="2"/>
      <c r="U147" s="2"/>
    </row>
    <row r="148" spans="1:21" ht="52.4" customHeight="1" x14ac:dyDescent="0.25">
      <c r="A148" s="100"/>
      <c r="B148" s="243"/>
      <c r="C148" s="114"/>
      <c r="D148" s="19" t="s">
        <v>19</v>
      </c>
      <c r="E148" s="20">
        <f t="shared" si="43"/>
        <v>0</v>
      </c>
      <c r="F148" s="21"/>
      <c r="G148" s="21">
        <v>0</v>
      </c>
      <c r="H148" s="21">
        <v>0</v>
      </c>
      <c r="I148" s="21">
        <v>0</v>
      </c>
      <c r="J148" s="21">
        <v>0</v>
      </c>
      <c r="K148" s="21">
        <v>0</v>
      </c>
      <c r="L148" s="21">
        <v>0</v>
      </c>
      <c r="M148" s="21">
        <v>0</v>
      </c>
      <c r="N148" s="21">
        <v>0</v>
      </c>
      <c r="O148" s="21">
        <v>0</v>
      </c>
      <c r="P148" s="21">
        <v>0</v>
      </c>
      <c r="Q148" s="21">
        <v>0</v>
      </c>
      <c r="R148" s="38"/>
      <c r="S148" s="38"/>
      <c r="T148" s="2"/>
      <c r="U148" s="2"/>
    </row>
    <row r="149" spans="1:21" ht="37.35" customHeight="1" x14ac:dyDescent="0.25">
      <c r="A149" s="108"/>
      <c r="B149" s="244"/>
      <c r="C149" s="114"/>
      <c r="D149" s="25" t="s">
        <v>21</v>
      </c>
      <c r="E149" s="26">
        <f t="shared" si="43"/>
        <v>0</v>
      </c>
      <c r="F149" s="27"/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38"/>
      <c r="S149" s="38"/>
      <c r="T149" s="2"/>
      <c r="U149" s="2"/>
    </row>
    <row r="150" spans="1:21" ht="38.799999999999997" customHeight="1" x14ac:dyDescent="0.25">
      <c r="A150" s="99" t="s">
        <v>205</v>
      </c>
      <c r="B150" s="242" t="s">
        <v>206</v>
      </c>
      <c r="C150" s="114"/>
      <c r="D150" s="19" t="s">
        <v>29</v>
      </c>
      <c r="E150" s="20">
        <f t="shared" si="43"/>
        <v>1489.2</v>
      </c>
      <c r="F150" s="21"/>
      <c r="G150" s="21">
        <v>0</v>
      </c>
      <c r="H150" s="21">
        <v>0</v>
      </c>
      <c r="I150" s="21">
        <v>0</v>
      </c>
      <c r="J150" s="21">
        <f t="shared" ref="J150:Q150" si="45">SUM(J151:J153)</f>
        <v>0</v>
      </c>
      <c r="K150" s="21">
        <f t="shared" si="45"/>
        <v>0</v>
      </c>
      <c r="L150" s="21">
        <f t="shared" si="45"/>
        <v>0</v>
      </c>
      <c r="M150" s="21">
        <f t="shared" si="45"/>
        <v>0</v>
      </c>
      <c r="N150" s="21">
        <f t="shared" si="45"/>
        <v>1489.2</v>
      </c>
      <c r="O150" s="21">
        <f t="shared" si="45"/>
        <v>0</v>
      </c>
      <c r="P150" s="21">
        <f t="shared" si="45"/>
        <v>0</v>
      </c>
      <c r="Q150" s="21">
        <f t="shared" si="45"/>
        <v>0</v>
      </c>
      <c r="R150" s="38"/>
      <c r="S150" s="38"/>
      <c r="T150" s="2"/>
      <c r="U150" s="2"/>
    </row>
    <row r="151" spans="1:21" ht="39.450000000000003" customHeight="1" x14ac:dyDescent="0.25">
      <c r="A151" s="100"/>
      <c r="B151" s="243"/>
      <c r="C151" s="114"/>
      <c r="D151" s="19" t="s">
        <v>17</v>
      </c>
      <c r="E151" s="20">
        <f t="shared" si="43"/>
        <v>0</v>
      </c>
      <c r="F151" s="21"/>
      <c r="G151" s="21">
        <v>0</v>
      </c>
      <c r="H151" s="21">
        <v>0</v>
      </c>
      <c r="I151" s="21">
        <v>0</v>
      </c>
      <c r="J151" s="21">
        <v>0</v>
      </c>
      <c r="K151" s="21">
        <v>0</v>
      </c>
      <c r="L151" s="21">
        <v>0</v>
      </c>
      <c r="M151" s="21">
        <v>0</v>
      </c>
      <c r="N151" s="21">
        <v>0</v>
      </c>
      <c r="O151" s="21">
        <v>0</v>
      </c>
      <c r="P151" s="21">
        <v>0</v>
      </c>
      <c r="Q151" s="21">
        <v>0</v>
      </c>
      <c r="R151" s="38"/>
      <c r="S151" s="38"/>
      <c r="T151" s="2"/>
      <c r="U151" s="2"/>
    </row>
    <row r="152" spans="1:21" ht="40.75" customHeight="1" x14ac:dyDescent="0.25">
      <c r="A152" s="100"/>
      <c r="B152" s="243"/>
      <c r="C152" s="114"/>
      <c r="D152" s="19" t="s">
        <v>18</v>
      </c>
      <c r="E152" s="20">
        <f t="shared" si="43"/>
        <v>1489.2</v>
      </c>
      <c r="F152" s="21"/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21">
        <f>43.3+1445.9</f>
        <v>1489.2</v>
      </c>
      <c r="O152" s="21">
        <v>0</v>
      </c>
      <c r="P152" s="45">
        <v>0</v>
      </c>
      <c r="Q152" s="21">
        <v>0</v>
      </c>
      <c r="R152" s="38"/>
      <c r="S152" s="38"/>
      <c r="T152" s="2"/>
      <c r="U152" s="2"/>
    </row>
    <row r="153" spans="1:21" ht="35.549999999999997" customHeight="1" x14ac:dyDescent="0.25">
      <c r="A153" s="100"/>
      <c r="B153" s="243"/>
      <c r="C153" s="114"/>
      <c r="D153" s="19" t="s">
        <v>19</v>
      </c>
      <c r="E153" s="20">
        <f t="shared" si="43"/>
        <v>0</v>
      </c>
      <c r="F153" s="21"/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21">
        <v>0</v>
      </c>
      <c r="O153" s="21">
        <v>0</v>
      </c>
      <c r="P153" s="21">
        <v>0</v>
      </c>
      <c r="Q153" s="21">
        <v>0</v>
      </c>
      <c r="R153" s="38"/>
      <c r="S153" s="38"/>
      <c r="T153" s="2"/>
      <c r="U153" s="2"/>
    </row>
    <row r="154" spans="1:21" ht="44.05" customHeight="1" x14ac:dyDescent="0.25">
      <c r="A154" s="108"/>
      <c r="B154" s="244"/>
      <c r="C154" s="114"/>
      <c r="D154" s="25" t="s">
        <v>21</v>
      </c>
      <c r="E154" s="26">
        <f t="shared" si="43"/>
        <v>0</v>
      </c>
      <c r="F154" s="27"/>
      <c r="G154" s="27">
        <v>0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  <c r="R154" s="38"/>
      <c r="S154" s="38"/>
      <c r="T154" s="2"/>
      <c r="U154" s="2"/>
    </row>
    <row r="155" spans="1:21" ht="126.5" customHeight="1" x14ac:dyDescent="0.25">
      <c r="A155" s="171" t="s">
        <v>207</v>
      </c>
      <c r="B155" s="306" t="s">
        <v>208</v>
      </c>
      <c r="C155" s="162"/>
      <c r="D155" s="19" t="s">
        <v>29</v>
      </c>
      <c r="E155" s="20">
        <f t="shared" si="43"/>
        <v>42.800000000000011</v>
      </c>
      <c r="F155" s="21"/>
      <c r="G155" s="21">
        <v>0</v>
      </c>
      <c r="H155" s="21">
        <v>0</v>
      </c>
      <c r="I155" s="21">
        <v>0</v>
      </c>
      <c r="J155" s="21">
        <f t="shared" ref="J155:Q155" si="46">SUM(J156:J158)</f>
        <v>0</v>
      </c>
      <c r="K155" s="21">
        <f t="shared" si="46"/>
        <v>0</v>
      </c>
      <c r="L155" s="21">
        <f t="shared" si="46"/>
        <v>0</v>
      </c>
      <c r="M155" s="21">
        <f t="shared" si="46"/>
        <v>0</v>
      </c>
      <c r="N155" s="21">
        <f t="shared" si="46"/>
        <v>42.800000000000011</v>
      </c>
      <c r="O155" s="21">
        <f t="shared" si="46"/>
        <v>0</v>
      </c>
      <c r="P155" s="21">
        <f t="shared" si="46"/>
        <v>0</v>
      </c>
      <c r="Q155" s="21">
        <f t="shared" si="46"/>
        <v>0</v>
      </c>
      <c r="R155" s="38"/>
      <c r="S155" s="38"/>
      <c r="T155" s="2"/>
      <c r="U155" s="2"/>
    </row>
    <row r="156" spans="1:21" ht="60.4" customHeight="1" x14ac:dyDescent="0.25">
      <c r="A156" s="167"/>
      <c r="B156" s="289"/>
      <c r="C156" s="162"/>
      <c r="D156" s="19" t="s">
        <v>17</v>
      </c>
      <c r="E156" s="20">
        <f t="shared" si="43"/>
        <v>0</v>
      </c>
      <c r="F156" s="21"/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  <c r="Q156" s="21">
        <v>0</v>
      </c>
      <c r="R156" s="38"/>
      <c r="S156" s="38"/>
      <c r="T156" s="2"/>
      <c r="U156" s="2"/>
    </row>
    <row r="157" spans="1:21" ht="71.55" customHeight="1" x14ac:dyDescent="0.25">
      <c r="A157" s="167"/>
      <c r="B157" s="289"/>
      <c r="C157" s="162"/>
      <c r="D157" s="19" t="s">
        <v>18</v>
      </c>
      <c r="E157" s="20">
        <f t="shared" si="43"/>
        <v>0</v>
      </c>
      <c r="F157" s="21"/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21">
        <v>0</v>
      </c>
      <c r="N157" s="21">
        <v>0</v>
      </c>
      <c r="O157" s="21">
        <v>0</v>
      </c>
      <c r="P157" s="45">
        <v>0</v>
      </c>
      <c r="Q157" s="21">
        <v>0</v>
      </c>
      <c r="R157" s="38"/>
      <c r="S157" s="38"/>
      <c r="T157" s="2"/>
      <c r="U157" s="2"/>
    </row>
    <row r="158" spans="1:21" ht="87.05" customHeight="1" x14ac:dyDescent="0.25">
      <c r="A158" s="167"/>
      <c r="B158" s="289"/>
      <c r="C158" s="162"/>
      <c r="D158" s="19" t="s">
        <v>19</v>
      </c>
      <c r="E158" s="20">
        <f t="shared" si="43"/>
        <v>42.800000000000011</v>
      </c>
      <c r="F158" s="21"/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21">
        <v>0</v>
      </c>
      <c r="N158" s="21">
        <f>241-198.2</f>
        <v>42.800000000000011</v>
      </c>
      <c r="O158" s="21">
        <v>0</v>
      </c>
      <c r="P158" s="21">
        <v>0</v>
      </c>
      <c r="Q158" s="21">
        <v>0</v>
      </c>
      <c r="R158" s="38"/>
      <c r="S158" s="38"/>
      <c r="T158" s="2"/>
      <c r="U158" s="2"/>
    </row>
    <row r="159" spans="1:21" ht="82" customHeight="1" x14ac:dyDescent="0.25">
      <c r="A159" s="223"/>
      <c r="B159" s="288"/>
      <c r="C159" s="163"/>
      <c r="D159" s="25" t="s">
        <v>21</v>
      </c>
      <c r="E159" s="26">
        <f t="shared" si="43"/>
        <v>0</v>
      </c>
      <c r="F159" s="27"/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38"/>
      <c r="S159" s="38"/>
      <c r="T159" s="2"/>
      <c r="U159" s="2"/>
    </row>
    <row r="160" spans="1:21" ht="38.799999999999997" customHeight="1" x14ac:dyDescent="0.25">
      <c r="A160" s="202" t="s">
        <v>209</v>
      </c>
      <c r="B160" s="245" t="s">
        <v>210</v>
      </c>
      <c r="C160" s="114"/>
      <c r="D160" s="25" t="s">
        <v>29</v>
      </c>
      <c r="E160" s="20">
        <f t="shared" ref="E160:E175" si="47">SUM(F160:Q160)</f>
        <v>57043.7</v>
      </c>
      <c r="F160" s="21"/>
      <c r="G160" s="21">
        <v>0</v>
      </c>
      <c r="H160" s="21">
        <v>0</v>
      </c>
      <c r="I160" s="21">
        <v>0</v>
      </c>
      <c r="J160" s="21">
        <f t="shared" ref="J160:Q160" si="48">SUM(J161:J163)</f>
        <v>0</v>
      </c>
      <c r="K160" s="21">
        <f t="shared" si="48"/>
        <v>0</v>
      </c>
      <c r="L160" s="21">
        <f t="shared" si="48"/>
        <v>0</v>
      </c>
      <c r="M160" s="21">
        <f t="shared" si="48"/>
        <v>0</v>
      </c>
      <c r="N160" s="21">
        <f t="shared" si="48"/>
        <v>0</v>
      </c>
      <c r="O160" s="21">
        <f t="shared" si="48"/>
        <v>16431.5</v>
      </c>
      <c r="P160" s="21">
        <f t="shared" si="48"/>
        <v>20306.099999999999</v>
      </c>
      <c r="Q160" s="21">
        <f t="shared" si="48"/>
        <v>20306.099999999999</v>
      </c>
      <c r="R160" s="38"/>
      <c r="S160" s="38"/>
      <c r="T160" s="2"/>
      <c r="U160" s="2"/>
    </row>
    <row r="161" spans="1:52" ht="75.45" customHeight="1" x14ac:dyDescent="0.25">
      <c r="A161" s="100"/>
      <c r="B161" s="241"/>
      <c r="C161" s="114"/>
      <c r="D161" s="19" t="s">
        <v>17</v>
      </c>
      <c r="E161" s="20">
        <f t="shared" si="47"/>
        <v>0</v>
      </c>
      <c r="F161" s="21"/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21">
        <v>0</v>
      </c>
      <c r="N161" s="21">
        <v>0</v>
      </c>
      <c r="O161" s="21">
        <v>0</v>
      </c>
      <c r="P161" s="21">
        <v>0</v>
      </c>
      <c r="Q161" s="21">
        <v>0</v>
      </c>
      <c r="R161" s="38"/>
      <c r="S161" s="38"/>
      <c r="T161" s="2"/>
      <c r="U161" s="2"/>
    </row>
    <row r="162" spans="1:52" ht="38.15" customHeight="1" x14ac:dyDescent="0.25">
      <c r="A162" s="100"/>
      <c r="B162" s="241"/>
      <c r="C162" s="114"/>
      <c r="D162" s="19" t="s">
        <v>18</v>
      </c>
      <c r="E162" s="20">
        <f t="shared" si="47"/>
        <v>57043.7</v>
      </c>
      <c r="F162" s="21"/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21">
        <v>0</v>
      </c>
      <c r="N162" s="21">
        <v>0</v>
      </c>
      <c r="O162" s="172">
        <f>20306.1-3874.6</f>
        <v>16431.5</v>
      </c>
      <c r="P162" s="45">
        <v>20306.099999999999</v>
      </c>
      <c r="Q162" s="21">
        <v>20306.099999999999</v>
      </c>
      <c r="R162" s="38"/>
      <c r="S162" s="38"/>
      <c r="T162" s="2"/>
      <c r="U162" s="2"/>
    </row>
    <row r="163" spans="1:52" ht="42.4" customHeight="1" x14ac:dyDescent="0.25">
      <c r="A163" s="100"/>
      <c r="B163" s="241"/>
      <c r="C163" s="114"/>
      <c r="D163" s="19" t="s">
        <v>19</v>
      </c>
      <c r="E163" s="20">
        <f t="shared" si="47"/>
        <v>0</v>
      </c>
      <c r="F163" s="21"/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21">
        <v>0</v>
      </c>
      <c r="N163" s="21">
        <v>0</v>
      </c>
      <c r="O163" s="21">
        <v>0</v>
      </c>
      <c r="P163" s="21">
        <v>0</v>
      </c>
      <c r="Q163" s="21">
        <v>0</v>
      </c>
      <c r="R163" s="38"/>
      <c r="S163" s="38"/>
      <c r="T163" s="2"/>
      <c r="U163" s="2"/>
    </row>
    <row r="164" spans="1:52" ht="104.25" customHeight="1" x14ac:dyDescent="0.25">
      <c r="A164" s="108"/>
      <c r="B164" s="246"/>
      <c r="C164" s="114"/>
      <c r="D164" s="25" t="s">
        <v>21</v>
      </c>
      <c r="E164" s="26">
        <f t="shared" si="47"/>
        <v>0</v>
      </c>
      <c r="F164" s="27"/>
      <c r="G164" s="27">
        <v>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38"/>
      <c r="S164" s="38"/>
      <c r="T164" s="2"/>
      <c r="U164" s="2"/>
    </row>
    <row r="165" spans="1:52" ht="85.75" customHeight="1" x14ac:dyDescent="0.25">
      <c r="A165" s="202" t="s">
        <v>218</v>
      </c>
      <c r="B165" s="245" t="s">
        <v>222</v>
      </c>
      <c r="C165" s="114"/>
      <c r="D165" s="25" t="s">
        <v>29</v>
      </c>
      <c r="E165" s="20">
        <f t="shared" si="47"/>
        <v>4284</v>
      </c>
      <c r="F165" s="21"/>
      <c r="G165" s="21">
        <v>0</v>
      </c>
      <c r="H165" s="21">
        <v>0</v>
      </c>
      <c r="I165" s="21">
        <v>0</v>
      </c>
      <c r="J165" s="21">
        <f t="shared" ref="J165:Q165" si="49">SUM(J166:J168)</f>
        <v>0</v>
      </c>
      <c r="K165" s="21">
        <f t="shared" si="49"/>
        <v>0</v>
      </c>
      <c r="L165" s="21">
        <f t="shared" si="49"/>
        <v>0</v>
      </c>
      <c r="M165" s="21">
        <f t="shared" si="49"/>
        <v>0</v>
      </c>
      <c r="N165" s="21">
        <f t="shared" si="49"/>
        <v>0</v>
      </c>
      <c r="O165" s="21">
        <f t="shared" si="49"/>
        <v>4284</v>
      </c>
      <c r="P165" s="21">
        <f t="shared" si="49"/>
        <v>0</v>
      </c>
      <c r="Q165" s="21">
        <f t="shared" si="49"/>
        <v>0</v>
      </c>
      <c r="R165" s="38"/>
      <c r="S165" s="38"/>
      <c r="T165" s="2"/>
      <c r="U165" s="2"/>
    </row>
    <row r="166" spans="1:52" ht="67.599999999999994" customHeight="1" x14ac:dyDescent="0.25">
      <c r="A166" s="100"/>
      <c r="B166" s="241"/>
      <c r="C166" s="114"/>
      <c r="D166" s="19" t="s">
        <v>17</v>
      </c>
      <c r="E166" s="20">
        <f t="shared" si="47"/>
        <v>0</v>
      </c>
      <c r="F166" s="21"/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21">
        <v>0</v>
      </c>
      <c r="N166" s="21">
        <v>0</v>
      </c>
      <c r="O166" s="21">
        <v>0</v>
      </c>
      <c r="P166" s="21">
        <v>0</v>
      </c>
      <c r="Q166" s="21">
        <v>0</v>
      </c>
      <c r="R166" s="38"/>
      <c r="S166" s="38"/>
      <c r="T166" s="2"/>
      <c r="U166" s="2"/>
    </row>
    <row r="167" spans="1:52" ht="49.75" customHeight="1" x14ac:dyDescent="0.25">
      <c r="A167" s="100"/>
      <c r="B167" s="241"/>
      <c r="C167" s="114"/>
      <c r="D167" s="19" t="s">
        <v>18</v>
      </c>
      <c r="E167" s="20">
        <f t="shared" si="47"/>
        <v>4284</v>
      </c>
      <c r="F167" s="21"/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21">
        <v>0</v>
      </c>
      <c r="N167" s="21">
        <v>0</v>
      </c>
      <c r="O167" s="172">
        <f>5726.3-1442.3</f>
        <v>4284</v>
      </c>
      <c r="P167" s="45">
        <v>0</v>
      </c>
      <c r="Q167" s="21">
        <v>0</v>
      </c>
      <c r="R167" s="38"/>
      <c r="S167" s="38"/>
      <c r="T167" s="2"/>
      <c r="U167" s="2"/>
    </row>
    <row r="168" spans="1:52" ht="44.7" customHeight="1" x14ac:dyDescent="0.25">
      <c r="A168" s="100"/>
      <c r="B168" s="241"/>
      <c r="C168" s="114"/>
      <c r="D168" s="19" t="s">
        <v>19</v>
      </c>
      <c r="E168" s="20">
        <f t="shared" si="47"/>
        <v>0</v>
      </c>
      <c r="F168" s="21"/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21">
        <v>0</v>
      </c>
      <c r="N168" s="21">
        <v>0</v>
      </c>
      <c r="O168" s="21">
        <v>0</v>
      </c>
      <c r="P168" s="21">
        <v>0</v>
      </c>
      <c r="Q168" s="21">
        <v>0</v>
      </c>
      <c r="R168" s="38"/>
      <c r="S168" s="38"/>
      <c r="T168" s="2"/>
      <c r="U168" s="2"/>
    </row>
    <row r="169" spans="1:52" ht="71.2" customHeight="1" x14ac:dyDescent="0.25">
      <c r="A169" s="108"/>
      <c r="B169" s="246"/>
      <c r="C169" s="114"/>
      <c r="D169" s="25" t="s">
        <v>21</v>
      </c>
      <c r="E169" s="26">
        <f t="shared" si="47"/>
        <v>0</v>
      </c>
      <c r="F169" s="27"/>
      <c r="G169" s="27">
        <v>0</v>
      </c>
      <c r="H169" s="27">
        <v>0</v>
      </c>
      <c r="I169" s="27">
        <v>0</v>
      </c>
      <c r="J169" s="27">
        <v>0</v>
      </c>
      <c r="K169" s="27">
        <v>0</v>
      </c>
      <c r="L169" s="27">
        <v>0</v>
      </c>
      <c r="M169" s="27">
        <v>0</v>
      </c>
      <c r="N169" s="27">
        <v>0</v>
      </c>
      <c r="O169" s="27">
        <v>0</v>
      </c>
      <c r="P169" s="27">
        <v>0</v>
      </c>
      <c r="Q169" s="27">
        <v>0</v>
      </c>
      <c r="R169" s="38"/>
      <c r="S169" s="38"/>
      <c r="T169" s="2"/>
      <c r="U169" s="2"/>
    </row>
    <row r="170" spans="1:52" ht="47.15" customHeight="1" x14ac:dyDescent="0.25">
      <c r="A170" s="202" t="s">
        <v>219</v>
      </c>
      <c r="B170" s="247" t="s">
        <v>224</v>
      </c>
      <c r="C170" s="114"/>
      <c r="D170" s="19" t="s">
        <v>29</v>
      </c>
      <c r="E170" s="20">
        <f t="shared" si="47"/>
        <v>5317.7</v>
      </c>
      <c r="F170" s="21"/>
      <c r="G170" s="21">
        <v>0</v>
      </c>
      <c r="H170" s="21">
        <v>0</v>
      </c>
      <c r="I170" s="21">
        <v>0</v>
      </c>
      <c r="J170" s="21">
        <f t="shared" ref="J170:Q170" si="50">SUM(J171:J173)</f>
        <v>0</v>
      </c>
      <c r="K170" s="21">
        <f t="shared" si="50"/>
        <v>0</v>
      </c>
      <c r="L170" s="21">
        <f t="shared" si="50"/>
        <v>0</v>
      </c>
      <c r="M170" s="21">
        <f t="shared" si="50"/>
        <v>0</v>
      </c>
      <c r="N170" s="21">
        <f t="shared" si="50"/>
        <v>0</v>
      </c>
      <c r="O170" s="21">
        <f t="shared" si="50"/>
        <v>1788.1</v>
      </c>
      <c r="P170" s="21">
        <f t="shared" si="50"/>
        <v>1784.1</v>
      </c>
      <c r="Q170" s="21">
        <f t="shared" si="50"/>
        <v>1745.5</v>
      </c>
      <c r="R170" s="38"/>
      <c r="S170" s="38"/>
      <c r="T170" s="2"/>
      <c r="U170" s="2"/>
    </row>
    <row r="171" spans="1:52" ht="47.15" customHeight="1" x14ac:dyDescent="0.25">
      <c r="A171" s="100"/>
      <c r="B171" s="241"/>
      <c r="C171" s="114"/>
      <c r="D171" s="19" t="s">
        <v>17</v>
      </c>
      <c r="E171" s="20">
        <f t="shared" si="47"/>
        <v>0</v>
      </c>
      <c r="F171" s="21"/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21">
        <v>0</v>
      </c>
      <c r="N171" s="21">
        <v>0</v>
      </c>
      <c r="O171" s="21">
        <v>0</v>
      </c>
      <c r="P171" s="21">
        <v>0</v>
      </c>
      <c r="Q171" s="21">
        <v>0</v>
      </c>
      <c r="R171" s="38"/>
      <c r="S171" s="38"/>
      <c r="T171" s="2"/>
      <c r="U171" s="2"/>
    </row>
    <row r="172" spans="1:52" ht="47.15" customHeight="1" x14ac:dyDescent="0.25">
      <c r="A172" s="100"/>
      <c r="B172" s="241"/>
      <c r="C172" s="114"/>
      <c r="D172" s="19" t="s">
        <v>18</v>
      </c>
      <c r="E172" s="20">
        <f t="shared" si="47"/>
        <v>5317.7</v>
      </c>
      <c r="F172" s="21"/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21">
        <v>0</v>
      </c>
      <c r="N172" s="21">
        <v>0</v>
      </c>
      <c r="O172" s="172">
        <f>1841.3-53.2</f>
        <v>1788.1</v>
      </c>
      <c r="P172" s="45">
        <v>1784.1</v>
      </c>
      <c r="Q172" s="21">
        <v>1745.5</v>
      </c>
      <c r="R172" s="38"/>
      <c r="S172" s="38"/>
      <c r="T172" s="2"/>
      <c r="U172" s="2"/>
    </row>
    <row r="173" spans="1:52" ht="47.15" customHeight="1" x14ac:dyDescent="0.25">
      <c r="A173" s="100"/>
      <c r="B173" s="241"/>
      <c r="C173" s="114"/>
      <c r="D173" s="19" t="s">
        <v>19</v>
      </c>
      <c r="E173" s="20">
        <f t="shared" si="47"/>
        <v>0</v>
      </c>
      <c r="F173" s="21"/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21">
        <v>0</v>
      </c>
      <c r="N173" s="21">
        <v>0</v>
      </c>
      <c r="O173" s="21">
        <v>0</v>
      </c>
      <c r="P173" s="21">
        <v>0</v>
      </c>
      <c r="Q173" s="21">
        <v>0</v>
      </c>
      <c r="R173" s="38"/>
      <c r="S173" s="38"/>
      <c r="T173" s="2"/>
      <c r="U173" s="2"/>
    </row>
    <row r="174" spans="1:52" ht="47.15" customHeight="1" x14ac:dyDescent="0.25">
      <c r="A174" s="108"/>
      <c r="B174" s="246"/>
      <c r="C174" s="114"/>
      <c r="D174" s="25" t="s">
        <v>21</v>
      </c>
      <c r="E174" s="26">
        <f t="shared" si="47"/>
        <v>0</v>
      </c>
      <c r="F174" s="27"/>
      <c r="G174" s="27">
        <v>0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27">
        <v>0</v>
      </c>
      <c r="O174" s="27">
        <v>0</v>
      </c>
      <c r="P174" s="27">
        <v>0</v>
      </c>
      <c r="Q174" s="27">
        <v>0</v>
      </c>
      <c r="R174" s="38"/>
      <c r="S174" s="38"/>
      <c r="T174" s="2"/>
      <c r="U174" s="2"/>
    </row>
    <row r="175" spans="1:52" ht="30.45" customHeight="1" x14ac:dyDescent="0.25">
      <c r="A175" s="146" t="s">
        <v>56</v>
      </c>
      <c r="B175" s="149" t="s">
        <v>156</v>
      </c>
      <c r="C175" s="40"/>
      <c r="D175" s="41" t="s">
        <v>4</v>
      </c>
      <c r="E175" s="42">
        <f t="shared" si="47"/>
        <v>1959316.8</v>
      </c>
      <c r="F175" s="43"/>
      <c r="G175" s="43">
        <f>G182+G187+G192+G197+G202+G220+G225+G235+G208+G214</f>
        <v>115060.49999999999</v>
      </c>
      <c r="H175" s="18">
        <f>H182+H187+H192+H197+H202+H220+H225+H235+H240</f>
        <v>232264.1</v>
      </c>
      <c r="I175" s="18">
        <f>I182+I187+I192+I197+I202+I220+I225+I235+I230</f>
        <v>47279.8</v>
      </c>
      <c r="J175" s="18">
        <f>J182+J187+J192+J197+J202+J220+J225+J235+J230+J240</f>
        <v>564022.1</v>
      </c>
      <c r="K175" s="18">
        <f>K182+K187+K192+K197+K202+K220+K225+K235+K240+K230+K245+K251+K256+K261+K266</f>
        <v>268628.19999999995</v>
      </c>
      <c r="L175" s="18">
        <f>L182+L187+L192+L197+L202+L220+L225+L235+L240+L230+L245+L251+L256+L261+L266</f>
        <v>173435.6</v>
      </c>
      <c r="M175" s="18">
        <f>M182+M187+M192+M197+M202+M220+M225+M235+M240+M230+M245+M261+M256+M266+M251+M271+M276+M281</f>
        <v>322904</v>
      </c>
      <c r="N175" s="18">
        <f>N178+N177</f>
        <v>150227.30000000002</v>
      </c>
      <c r="O175" s="18">
        <f>O178+O177</f>
        <v>66728.400000000009</v>
      </c>
      <c r="P175" s="18">
        <f>P178+P177</f>
        <v>16639.2</v>
      </c>
      <c r="Q175" s="18">
        <f>Q178+Q177</f>
        <v>2127.6</v>
      </c>
      <c r="R175" s="86"/>
      <c r="S175" s="86"/>
      <c r="T175" s="2"/>
      <c r="U175" s="2"/>
      <c r="AZ175" s="2"/>
    </row>
    <row r="176" spans="1:52" ht="24.9" customHeight="1" x14ac:dyDescent="0.25">
      <c r="A176" s="147"/>
      <c r="B176" s="150"/>
      <c r="C176" s="40"/>
      <c r="D176" s="19" t="s">
        <v>17</v>
      </c>
      <c r="E176" s="20">
        <f t="shared" ref="E176:E181" si="51">SUM(F176:Q176)</f>
        <v>3747.2</v>
      </c>
      <c r="F176" s="18"/>
      <c r="G176" s="21">
        <f>G183+G188+G193+G203+G209+G215+G221+G226</f>
        <v>740</v>
      </c>
      <c r="H176" s="21">
        <f>H231+H226</f>
        <v>1419.6</v>
      </c>
      <c r="I176" s="21">
        <f t="shared" ref="I176:X176" si="52">I231+I226</f>
        <v>1587.6</v>
      </c>
      <c r="J176" s="21">
        <f>J203</f>
        <v>0</v>
      </c>
      <c r="K176" s="21">
        <f t="shared" si="52"/>
        <v>0</v>
      </c>
      <c r="L176" s="21">
        <f t="shared" si="52"/>
        <v>0</v>
      </c>
      <c r="M176" s="21">
        <f>M231+M226</f>
        <v>0</v>
      </c>
      <c r="N176" s="21">
        <f>N231+N226</f>
        <v>0</v>
      </c>
      <c r="O176" s="21">
        <f>O231+O226</f>
        <v>0</v>
      </c>
      <c r="P176" s="21">
        <f>P231+P226</f>
        <v>0</v>
      </c>
      <c r="Q176" s="21">
        <f>Q231+Q226</f>
        <v>0</v>
      </c>
      <c r="R176" s="83"/>
      <c r="S176" s="83"/>
      <c r="T176" s="83">
        <f t="shared" si="52"/>
        <v>0</v>
      </c>
      <c r="U176" s="21">
        <f t="shared" si="52"/>
        <v>0</v>
      </c>
      <c r="V176" s="21">
        <f t="shared" si="52"/>
        <v>0</v>
      </c>
      <c r="W176" s="21">
        <f t="shared" si="52"/>
        <v>0</v>
      </c>
      <c r="X176" s="21">
        <f t="shared" si="52"/>
        <v>0</v>
      </c>
    </row>
    <row r="177" spans="1:52" ht="24.05" customHeight="1" x14ac:dyDescent="0.25">
      <c r="A177" s="218"/>
      <c r="B177" s="220"/>
      <c r="C177" s="44"/>
      <c r="D177" s="19" t="s">
        <v>18</v>
      </c>
      <c r="E177" s="20">
        <f t="shared" si="51"/>
        <v>1357611</v>
      </c>
      <c r="F177" s="18"/>
      <c r="G177" s="21">
        <f>G184+G189+G194+G204+G210+G216+G222+G227</f>
        <v>13842.800000000001</v>
      </c>
      <c r="H177" s="21">
        <f>H184+H189+H194+H204+H210+H216+H222+H227+H237+H232</f>
        <v>95647.7</v>
      </c>
      <c r="I177" s="21">
        <f>I184+I189+I194+I204+I210+I216+I232+I227</f>
        <v>10474.200000000001</v>
      </c>
      <c r="J177" s="21">
        <f>J184+J189+J194+J204+J210+J216+J232+J237+J242+J227</f>
        <v>491859.80000000005</v>
      </c>
      <c r="K177" s="21">
        <f>K184+K189+K194+K204+K210+K216+K232+K237+K242+K227+K253+K263</f>
        <v>158023.60000000003</v>
      </c>
      <c r="L177" s="21">
        <f>L184+L189+L194+L204+L210+L216+L232+L237+L242+L227+L253+L263+L268</f>
        <v>122583.1</v>
      </c>
      <c r="M177" s="21">
        <f>M184+M189+M194+M204+M210+M216+M232+M237+M242+M227+M253+M263+M273+M278+M283</f>
        <v>268365.7</v>
      </c>
      <c r="N177" s="21">
        <f>N184+N189+N194+N204+N210+N216+N232+N237+N242+N227+N253+N263+N273+N278+N283+N288</f>
        <v>129799.40000000001</v>
      </c>
      <c r="O177" s="21">
        <f>O184+O189+O194+O204+O210+O216+O232+O237+O242+O227+O253+O263+O273+O278+O283+O288</f>
        <v>49373.8</v>
      </c>
      <c r="P177" s="21">
        <f>P184+P189+P194+P204+P210+P216+P232+P237+P242+P227+P253+P263+P273+P278+P283+P288</f>
        <v>15640.9</v>
      </c>
      <c r="Q177" s="21">
        <f>Q184+Q189+Q194+Q204+Q210+Q216+Q232+Q237+Q242+Q227+Q253+Q263+Q273+Q278+Q283+Q288</f>
        <v>2000</v>
      </c>
      <c r="R177" s="38"/>
      <c r="S177" s="38"/>
      <c r="T177" s="2">
        <v>367135.6</v>
      </c>
      <c r="U177" s="2"/>
      <c r="AZ177" s="2"/>
    </row>
    <row r="178" spans="1:52" ht="24.05" customHeight="1" x14ac:dyDescent="0.25">
      <c r="A178" s="219"/>
      <c r="B178" s="221"/>
      <c r="C178" s="44"/>
      <c r="D178" s="25" t="s">
        <v>19</v>
      </c>
      <c r="E178" s="26">
        <f t="shared" si="51"/>
        <v>597958.60000000009</v>
      </c>
      <c r="F178" s="18"/>
      <c r="G178" s="21">
        <f>G185+G190+G195+G205+G211+G217+G223+G228+G238</f>
        <v>100477.7</v>
      </c>
      <c r="H178" s="21">
        <f>H185+H190+H195+H205+H211+H217+H223+H228+H238+H243-H211</f>
        <v>135196.80000000002</v>
      </c>
      <c r="I178" s="21">
        <f>I185+I190+I195+I205+I211+I217+I223+I228+I238+I243+I233</f>
        <v>35218</v>
      </c>
      <c r="J178" s="21">
        <f>J185+J190+J195+J205+J211+J217+J223+J228+J238+J243+J233</f>
        <v>72162.299999999988</v>
      </c>
      <c r="K178" s="21">
        <f>K185+K190+K195+K205+K211+K217+K223+K228+K238+K243+K233+K248+K254+K259+K264</f>
        <v>110604.60000000002</v>
      </c>
      <c r="L178" s="21">
        <f>L185+L190+L195+L205+L211+L217+L223+L228+L238+L243+L233+L248+L254+L259+L264+L269</f>
        <v>50852.5</v>
      </c>
      <c r="M178" s="21">
        <f>M185+M190+M195+M205+M211+M217+M223+M228+M238+M243+M233+M248+M254+M259+M264+M269+M279+M284</f>
        <v>54538.299999999996</v>
      </c>
      <c r="N178" s="21">
        <f>N185+N190+N195+N205+N211+N217+N223+N228+N238+N243+N233+N248+N254+N259+N264+N274+N279+N284+N289</f>
        <v>20427.900000000005</v>
      </c>
      <c r="O178" s="21">
        <f>O185+O190+O195+O205+O211+O217+O223+O228+O238+O243+O233+O248+O254+O259+O264+O274+O279+O284+O289</f>
        <v>17354.600000000002</v>
      </c>
      <c r="P178" s="21">
        <f>P185+P190+P195+P205+P211+P217+P223+P228+P238+P243+P233+P248+P254+P259+P264+P274+P279+P284+P289</f>
        <v>998.3</v>
      </c>
      <c r="Q178" s="21">
        <f>Q185+Q190+Q195+Q205+Q211+Q217+Q223+Q228+Q238+Q243+Q233+Q248+Q254+Q259+Q264+Q274+Q279+Q284+Q289</f>
        <v>127.6</v>
      </c>
      <c r="R178" s="38"/>
      <c r="S178" s="38"/>
      <c r="T178" s="2">
        <v>62237.5</v>
      </c>
      <c r="U178" s="2"/>
      <c r="AZ178" s="2"/>
    </row>
    <row r="179" spans="1:52" ht="63.65" customHeight="1" x14ac:dyDescent="0.25">
      <c r="A179" s="147"/>
      <c r="B179" s="150"/>
      <c r="C179" s="40"/>
      <c r="D179" s="25" t="s">
        <v>20</v>
      </c>
      <c r="E179" s="20">
        <f t="shared" si="51"/>
        <v>24094.2</v>
      </c>
      <c r="F179" s="18"/>
      <c r="G179" s="21">
        <f>G206+G212+G218</f>
        <v>24094.2</v>
      </c>
      <c r="H179" s="21">
        <f>H186+H191+H196+H206+H212+H218+H224+H229</f>
        <v>0</v>
      </c>
      <c r="I179" s="21">
        <f t="shared" ref="I179:Q179" si="53">I186+I191+I196+I206+I212+I218</f>
        <v>0</v>
      </c>
      <c r="J179" s="21">
        <f t="shared" si="53"/>
        <v>0</v>
      </c>
      <c r="K179" s="21">
        <f t="shared" si="53"/>
        <v>0</v>
      </c>
      <c r="L179" s="21">
        <f t="shared" si="53"/>
        <v>0</v>
      </c>
      <c r="M179" s="21">
        <f t="shared" si="53"/>
        <v>0</v>
      </c>
      <c r="N179" s="21">
        <f t="shared" si="53"/>
        <v>0</v>
      </c>
      <c r="O179" s="21">
        <f t="shared" si="53"/>
        <v>0</v>
      </c>
      <c r="P179" s="21">
        <f t="shared" si="53"/>
        <v>0</v>
      </c>
      <c r="Q179" s="21">
        <f t="shared" si="53"/>
        <v>0</v>
      </c>
      <c r="R179" s="38"/>
      <c r="S179" s="38"/>
      <c r="T179" s="2"/>
      <c r="U179" s="2"/>
    </row>
    <row r="180" spans="1:52" ht="56.95" customHeight="1" x14ac:dyDescent="0.25">
      <c r="A180" s="147"/>
      <c r="B180" s="150"/>
      <c r="C180" s="44"/>
      <c r="D180" s="19" t="s">
        <v>197</v>
      </c>
      <c r="E180" s="20">
        <f>SUM(G180:Q180)</f>
        <v>9050.2000000000007</v>
      </c>
      <c r="F180" s="18"/>
      <c r="G180" s="21">
        <f t="shared" ref="G180:Q180" si="54">G249</f>
        <v>0</v>
      </c>
      <c r="H180" s="21">
        <f t="shared" si="54"/>
        <v>0</v>
      </c>
      <c r="I180" s="21">
        <f t="shared" si="54"/>
        <v>0</v>
      </c>
      <c r="J180" s="21">
        <f t="shared" si="54"/>
        <v>0</v>
      </c>
      <c r="K180" s="21">
        <f t="shared" si="54"/>
        <v>0</v>
      </c>
      <c r="L180" s="21">
        <f t="shared" si="54"/>
        <v>0</v>
      </c>
      <c r="M180" s="21">
        <f t="shared" si="54"/>
        <v>9050.2000000000007</v>
      </c>
      <c r="N180" s="21">
        <f t="shared" si="54"/>
        <v>0</v>
      </c>
      <c r="O180" s="21">
        <f t="shared" si="54"/>
        <v>0</v>
      </c>
      <c r="P180" s="21">
        <f t="shared" si="54"/>
        <v>0</v>
      </c>
      <c r="Q180" s="21">
        <f t="shared" si="54"/>
        <v>0</v>
      </c>
      <c r="R180" s="38"/>
      <c r="S180" s="38"/>
      <c r="T180" s="2"/>
      <c r="U180" s="2"/>
    </row>
    <row r="181" spans="1:52" ht="28.5" customHeight="1" x14ac:dyDescent="0.25">
      <c r="A181" s="148"/>
      <c r="B181" s="151"/>
      <c r="C181" s="40"/>
      <c r="D181" s="25" t="s">
        <v>21</v>
      </c>
      <c r="E181" s="26">
        <f t="shared" si="51"/>
        <v>0</v>
      </c>
      <c r="F181" s="43"/>
      <c r="G181" s="27">
        <v>0</v>
      </c>
      <c r="H181" s="27">
        <v>0</v>
      </c>
      <c r="I181" s="27">
        <v>0</v>
      </c>
      <c r="J181" s="27">
        <v>0</v>
      </c>
      <c r="K181" s="27">
        <v>0</v>
      </c>
      <c r="L181" s="27">
        <v>0</v>
      </c>
      <c r="M181" s="27">
        <v>0</v>
      </c>
      <c r="N181" s="27">
        <v>0</v>
      </c>
      <c r="O181" s="27">
        <v>0</v>
      </c>
      <c r="P181" s="27">
        <v>0</v>
      </c>
      <c r="Q181" s="27">
        <v>0</v>
      </c>
      <c r="R181" s="38"/>
      <c r="S181" s="38"/>
      <c r="T181" s="2"/>
      <c r="U181" s="2"/>
    </row>
    <row r="182" spans="1:52" ht="21.8" hidden="1" customHeight="1" x14ac:dyDescent="0.25">
      <c r="A182" s="286" t="s">
        <v>57</v>
      </c>
      <c r="B182" s="267" t="s">
        <v>35</v>
      </c>
      <c r="C182" s="262" t="s">
        <v>28</v>
      </c>
      <c r="D182" s="19" t="s">
        <v>29</v>
      </c>
      <c r="E182" s="20">
        <f t="shared" ref="E182:E201" si="55">SUM(F182:M182)</f>
        <v>0</v>
      </c>
      <c r="F182" s="21">
        <f>SUM(F183:F185)</f>
        <v>0</v>
      </c>
      <c r="G182" s="21">
        <f t="shared" ref="G182:L182" si="56">SUM(G183:G185)</f>
        <v>0</v>
      </c>
      <c r="H182" s="21">
        <f t="shared" si="56"/>
        <v>0</v>
      </c>
      <c r="I182" s="21">
        <f t="shared" si="56"/>
        <v>0</v>
      </c>
      <c r="J182" s="21">
        <f t="shared" si="56"/>
        <v>0</v>
      </c>
      <c r="K182" s="21">
        <f t="shared" si="56"/>
        <v>0</v>
      </c>
      <c r="L182" s="21">
        <f t="shared" si="56"/>
        <v>0</v>
      </c>
      <c r="M182" s="21">
        <f>SUM(M183:M185)</f>
        <v>0</v>
      </c>
      <c r="N182" s="21"/>
      <c r="O182" s="21"/>
      <c r="P182" s="21"/>
      <c r="Q182" s="21"/>
      <c r="R182" s="38"/>
      <c r="S182" s="38"/>
      <c r="T182" s="2"/>
      <c r="U182" s="2"/>
    </row>
    <row r="183" spans="1:52" ht="15.75" hidden="1" customHeight="1" x14ac:dyDescent="0.25">
      <c r="A183" s="286"/>
      <c r="B183" s="267"/>
      <c r="C183" s="263"/>
      <c r="D183" s="19" t="s">
        <v>17</v>
      </c>
      <c r="E183" s="20">
        <f t="shared" si="55"/>
        <v>0</v>
      </c>
      <c r="F183" s="21">
        <v>0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21">
        <v>0</v>
      </c>
      <c r="N183" s="21"/>
      <c r="O183" s="21"/>
      <c r="P183" s="21"/>
      <c r="Q183" s="21"/>
      <c r="R183" s="38"/>
      <c r="S183" s="38"/>
      <c r="T183" s="2"/>
      <c r="U183" s="2"/>
    </row>
    <row r="184" spans="1:52" ht="15.75" hidden="1" customHeight="1" x14ac:dyDescent="0.25">
      <c r="A184" s="286"/>
      <c r="B184" s="267"/>
      <c r="C184" s="263"/>
      <c r="D184" s="19" t="s">
        <v>18</v>
      </c>
      <c r="E184" s="20">
        <f t="shared" si="55"/>
        <v>0</v>
      </c>
      <c r="F184" s="21">
        <v>0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21">
        <v>0</v>
      </c>
      <c r="N184" s="21"/>
      <c r="O184" s="21"/>
      <c r="P184" s="21"/>
      <c r="Q184" s="21"/>
      <c r="R184" s="38"/>
      <c r="S184" s="38"/>
      <c r="T184" s="2"/>
      <c r="U184" s="2"/>
    </row>
    <row r="185" spans="1:52" ht="18" hidden="1" customHeight="1" x14ac:dyDescent="0.25">
      <c r="A185" s="286"/>
      <c r="B185" s="267"/>
      <c r="C185" s="263"/>
      <c r="D185" s="19" t="s">
        <v>19</v>
      </c>
      <c r="E185" s="20">
        <f t="shared" si="55"/>
        <v>0</v>
      </c>
      <c r="F185" s="21">
        <v>0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21">
        <v>0</v>
      </c>
      <c r="N185" s="21"/>
      <c r="O185" s="21"/>
      <c r="P185" s="21"/>
      <c r="Q185" s="21"/>
      <c r="R185" s="38"/>
      <c r="S185" s="38"/>
      <c r="T185" s="2"/>
      <c r="U185" s="2"/>
    </row>
    <row r="186" spans="1:52" ht="24.05" hidden="1" customHeight="1" x14ac:dyDescent="0.25">
      <c r="A186" s="297"/>
      <c r="B186" s="297"/>
      <c r="C186" s="264"/>
      <c r="D186" s="19" t="s">
        <v>21</v>
      </c>
      <c r="E186" s="20">
        <f t="shared" si="55"/>
        <v>0</v>
      </c>
      <c r="F186" s="21"/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21">
        <v>0</v>
      </c>
      <c r="N186" s="21"/>
      <c r="O186" s="21"/>
      <c r="P186" s="21"/>
      <c r="Q186" s="21"/>
      <c r="R186" s="38"/>
      <c r="S186" s="38"/>
      <c r="T186" s="2"/>
      <c r="U186" s="2"/>
    </row>
    <row r="187" spans="1:52" ht="18" hidden="1" customHeight="1" x14ac:dyDescent="0.25">
      <c r="A187" s="310" t="s">
        <v>58</v>
      </c>
      <c r="B187" s="306" t="s">
        <v>59</v>
      </c>
      <c r="C187" s="262" t="s">
        <v>16</v>
      </c>
      <c r="D187" s="19" t="s">
        <v>29</v>
      </c>
      <c r="E187" s="20">
        <f t="shared" si="55"/>
        <v>0</v>
      </c>
      <c r="F187" s="21">
        <f>SUM(F188:F190)</f>
        <v>0</v>
      </c>
      <c r="G187" s="21">
        <f t="shared" ref="G187:L187" si="57">SUM(G188:G190)</f>
        <v>0</v>
      </c>
      <c r="H187" s="21">
        <f t="shared" si="57"/>
        <v>0</v>
      </c>
      <c r="I187" s="21">
        <f t="shared" si="57"/>
        <v>0</v>
      </c>
      <c r="J187" s="21">
        <f t="shared" si="57"/>
        <v>0</v>
      </c>
      <c r="K187" s="21">
        <f t="shared" si="57"/>
        <v>0</v>
      </c>
      <c r="L187" s="21">
        <f t="shared" si="57"/>
        <v>0</v>
      </c>
      <c r="M187" s="21">
        <f>SUM(M188:M190)</f>
        <v>0</v>
      </c>
      <c r="N187" s="21"/>
      <c r="O187" s="21"/>
      <c r="P187" s="21"/>
      <c r="Q187" s="21"/>
      <c r="R187" s="38"/>
      <c r="S187" s="38"/>
      <c r="T187" s="2"/>
      <c r="U187" s="2"/>
    </row>
    <row r="188" spans="1:52" ht="16.55" hidden="1" customHeight="1" x14ac:dyDescent="0.25">
      <c r="A188" s="286"/>
      <c r="B188" s="267"/>
      <c r="C188" s="263"/>
      <c r="D188" s="19" t="s">
        <v>17</v>
      </c>
      <c r="E188" s="20">
        <f t="shared" si="55"/>
        <v>0</v>
      </c>
      <c r="F188" s="21">
        <v>0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21">
        <v>0</v>
      </c>
      <c r="N188" s="21"/>
      <c r="O188" s="21"/>
      <c r="P188" s="21"/>
      <c r="Q188" s="21"/>
      <c r="R188" s="38"/>
      <c r="S188" s="38"/>
      <c r="T188" s="2"/>
      <c r="U188" s="2"/>
    </row>
    <row r="189" spans="1:52" ht="16.55" hidden="1" customHeight="1" x14ac:dyDescent="0.25">
      <c r="A189" s="286"/>
      <c r="B189" s="267"/>
      <c r="C189" s="263"/>
      <c r="D189" s="19" t="s">
        <v>18</v>
      </c>
      <c r="E189" s="20">
        <f t="shared" si="55"/>
        <v>0</v>
      </c>
      <c r="F189" s="21">
        <v>0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21">
        <v>0</v>
      </c>
      <c r="N189" s="21"/>
      <c r="O189" s="21"/>
      <c r="P189" s="21"/>
      <c r="Q189" s="21"/>
      <c r="R189" s="38"/>
      <c r="S189" s="38"/>
      <c r="T189" s="2"/>
      <c r="U189" s="2"/>
    </row>
    <row r="190" spans="1:52" ht="18" hidden="1" customHeight="1" x14ac:dyDescent="0.25">
      <c r="A190" s="286"/>
      <c r="B190" s="267"/>
      <c r="C190" s="263"/>
      <c r="D190" s="19" t="s">
        <v>19</v>
      </c>
      <c r="E190" s="20">
        <f t="shared" si="55"/>
        <v>0</v>
      </c>
      <c r="F190" s="21">
        <v>0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21">
        <v>0</v>
      </c>
      <c r="N190" s="21"/>
      <c r="O190" s="21"/>
      <c r="P190" s="21"/>
      <c r="Q190" s="21"/>
      <c r="R190" s="38"/>
      <c r="S190" s="38"/>
      <c r="T190" s="2"/>
      <c r="U190" s="2"/>
    </row>
    <row r="191" spans="1:52" ht="28.5" hidden="1" customHeight="1" x14ac:dyDescent="0.25">
      <c r="A191" s="267"/>
      <c r="B191" s="267"/>
      <c r="C191" s="264"/>
      <c r="D191" s="19" t="s">
        <v>21</v>
      </c>
      <c r="E191" s="20">
        <f t="shared" si="55"/>
        <v>0</v>
      </c>
      <c r="F191" s="21"/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21">
        <v>0</v>
      </c>
      <c r="N191" s="21"/>
      <c r="O191" s="21"/>
      <c r="P191" s="21"/>
      <c r="Q191" s="21"/>
      <c r="R191" s="38"/>
      <c r="S191" s="38"/>
      <c r="T191" s="2"/>
      <c r="U191" s="2"/>
    </row>
    <row r="192" spans="1:52" ht="36" customHeight="1" x14ac:dyDescent="0.25">
      <c r="A192" s="130" t="s">
        <v>57</v>
      </c>
      <c r="B192" s="313" t="s">
        <v>60</v>
      </c>
      <c r="C192" s="268" t="s">
        <v>16</v>
      </c>
      <c r="D192" s="19" t="s">
        <v>29</v>
      </c>
      <c r="E192" s="20">
        <f>SUM(F192:Q192)</f>
        <v>252131.09999999998</v>
      </c>
      <c r="F192" s="21">
        <f>SUM(F193:F195)</f>
        <v>0</v>
      </c>
      <c r="G192" s="21">
        <f t="shared" ref="G192:L192" si="58">SUM(G193:G195)</f>
        <v>0</v>
      </c>
      <c r="H192" s="21">
        <f t="shared" si="58"/>
        <v>68638.399999999994</v>
      </c>
      <c r="I192" s="21">
        <f t="shared" si="58"/>
        <v>28449.1</v>
      </c>
      <c r="J192" s="21">
        <f t="shared" si="58"/>
        <v>30354.2</v>
      </c>
      <c r="K192" s="21">
        <f t="shared" si="58"/>
        <v>80928.100000000006</v>
      </c>
      <c r="L192" s="21">
        <f t="shared" si="58"/>
        <v>28071.300000000003</v>
      </c>
      <c r="M192" s="21">
        <f>SUM(M193:M195)</f>
        <v>15690</v>
      </c>
      <c r="N192" s="21">
        <f>SUM(N193:N195)</f>
        <v>0</v>
      </c>
      <c r="O192" s="21">
        <f>SUM(O193:O195)</f>
        <v>0</v>
      </c>
      <c r="P192" s="21">
        <f>SUM(P193:P195)</f>
        <v>0</v>
      </c>
      <c r="Q192" s="21">
        <f>SUM(Q193:Q195)</f>
        <v>0</v>
      </c>
      <c r="R192" s="38"/>
      <c r="S192" s="38"/>
      <c r="T192" s="2">
        <v>20459.3</v>
      </c>
      <c r="U192" s="2"/>
    </row>
    <row r="193" spans="1:21" ht="29.65" customHeight="1" x14ac:dyDescent="0.25">
      <c r="A193" s="99"/>
      <c r="B193" s="284"/>
      <c r="C193" s="269"/>
      <c r="D193" s="19" t="s">
        <v>17</v>
      </c>
      <c r="E193" s="20">
        <f>SUM(F193:Q193)</f>
        <v>0</v>
      </c>
      <c r="F193" s="21">
        <v>0</v>
      </c>
      <c r="G193" s="21">
        <v>0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21">
        <v>0</v>
      </c>
      <c r="N193" s="21">
        <v>0</v>
      </c>
      <c r="O193" s="21">
        <v>0</v>
      </c>
      <c r="P193" s="21">
        <v>0</v>
      </c>
      <c r="Q193" s="21">
        <v>0</v>
      </c>
      <c r="R193" s="38"/>
      <c r="S193" s="38"/>
      <c r="T193" s="2"/>
      <c r="U193" s="2"/>
    </row>
    <row r="194" spans="1:21" ht="29.65" customHeight="1" x14ac:dyDescent="0.25">
      <c r="A194" s="99"/>
      <c r="B194" s="284"/>
      <c r="C194" s="269"/>
      <c r="D194" s="19" t="s">
        <v>18</v>
      </c>
      <c r="E194" s="20">
        <f>SUM(F194:Q194)</f>
        <v>30000</v>
      </c>
      <c r="F194" s="21">
        <v>0</v>
      </c>
      <c r="G194" s="21">
        <v>0</v>
      </c>
      <c r="H194" s="21">
        <v>20000</v>
      </c>
      <c r="I194" s="21">
        <v>10000</v>
      </c>
      <c r="J194" s="21">
        <v>0</v>
      </c>
      <c r="K194" s="21">
        <v>0</v>
      </c>
      <c r="L194" s="21">
        <v>0</v>
      </c>
      <c r="M194" s="21">
        <v>0</v>
      </c>
      <c r="N194" s="21">
        <v>0</v>
      </c>
      <c r="O194" s="21">
        <v>0</v>
      </c>
      <c r="P194" s="21">
        <v>0</v>
      </c>
      <c r="Q194" s="21">
        <v>0</v>
      </c>
      <c r="R194" s="38"/>
      <c r="S194" s="38"/>
      <c r="T194" s="2"/>
      <c r="U194" s="2"/>
    </row>
    <row r="195" spans="1:21" ht="27.65" customHeight="1" x14ac:dyDescent="0.25">
      <c r="A195" s="99"/>
      <c r="B195" s="109"/>
      <c r="C195" s="269"/>
      <c r="D195" s="19" t="s">
        <v>19</v>
      </c>
      <c r="E195" s="20">
        <f>SUM(F195:Q195)</f>
        <v>222131.09999999998</v>
      </c>
      <c r="F195" s="21"/>
      <c r="G195" s="21">
        <v>0</v>
      </c>
      <c r="H195" s="21">
        <f>48496.2+189.1-46.9</f>
        <v>48638.399999999994</v>
      </c>
      <c r="I195" s="21">
        <f>4601+6061.8+1000+6786.3</f>
        <v>18449.099999999999</v>
      </c>
      <c r="J195" s="21">
        <f>27553.2+457.8+2343.2</f>
        <v>30354.2</v>
      </c>
      <c r="K195" s="21">
        <v>80928.100000000006</v>
      </c>
      <c r="L195" s="45">
        <f>26920+650+650-4000-3143.6-1223.1+8218.1-0.1</f>
        <v>28071.300000000003</v>
      </c>
      <c r="M195" s="21">
        <f>16116.9-689.9+263</f>
        <v>15690</v>
      </c>
      <c r="N195" s="21">
        <v>0</v>
      </c>
      <c r="O195" s="21">
        <v>0</v>
      </c>
      <c r="P195" s="21">
        <v>0</v>
      </c>
      <c r="Q195" s="21">
        <v>0</v>
      </c>
      <c r="R195" s="38"/>
      <c r="S195" s="38"/>
      <c r="T195" s="2">
        <v>20459.3</v>
      </c>
      <c r="U195" s="2"/>
    </row>
    <row r="196" spans="1:21" ht="32.25" customHeight="1" x14ac:dyDescent="0.25">
      <c r="A196" s="133"/>
      <c r="B196" s="110"/>
      <c r="C196" s="270"/>
      <c r="D196" s="19" t="s">
        <v>21</v>
      </c>
      <c r="E196" s="20">
        <f>SUM(F196:Q196)</f>
        <v>0</v>
      </c>
      <c r="F196" s="21"/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21">
        <v>0</v>
      </c>
      <c r="N196" s="21">
        <v>0</v>
      </c>
      <c r="O196" s="21">
        <v>0</v>
      </c>
      <c r="P196" s="21">
        <v>0</v>
      </c>
      <c r="Q196" s="21">
        <v>0</v>
      </c>
      <c r="R196" s="38"/>
      <c r="S196" s="38"/>
      <c r="T196" s="2"/>
      <c r="U196" s="2"/>
    </row>
    <row r="197" spans="1:21" ht="17.2" hidden="1" customHeight="1" x14ac:dyDescent="0.25">
      <c r="A197" s="259" t="s">
        <v>61</v>
      </c>
      <c r="B197" s="320" t="s">
        <v>62</v>
      </c>
      <c r="C197" s="262" t="s">
        <v>16</v>
      </c>
      <c r="D197" s="19" t="s">
        <v>29</v>
      </c>
      <c r="E197" s="20">
        <f t="shared" si="55"/>
        <v>0</v>
      </c>
      <c r="F197" s="21">
        <f>SUM(F198:F200)</f>
        <v>0</v>
      </c>
      <c r="G197" s="21">
        <f>SUM(G198:G200)</f>
        <v>0</v>
      </c>
      <c r="H197" s="21">
        <f>SUM(H198:H200)</f>
        <v>0</v>
      </c>
      <c r="I197" s="21">
        <f>SUM(I198:I200)</f>
        <v>0</v>
      </c>
      <c r="J197" s="21">
        <f>SUM(J198:J200)</f>
        <v>0</v>
      </c>
      <c r="K197" s="21">
        <v>0</v>
      </c>
      <c r="L197" s="21">
        <v>0</v>
      </c>
      <c r="M197" s="21">
        <v>0</v>
      </c>
      <c r="N197" s="21"/>
      <c r="O197" s="21"/>
      <c r="P197" s="21"/>
      <c r="Q197" s="21"/>
      <c r="R197" s="38"/>
      <c r="S197" s="38"/>
      <c r="T197" s="2"/>
      <c r="U197" s="2"/>
    </row>
    <row r="198" spans="1:21" ht="18" hidden="1" customHeight="1" x14ac:dyDescent="0.25">
      <c r="A198" s="259"/>
      <c r="B198" s="261"/>
      <c r="C198" s="263"/>
      <c r="D198" s="19" t="s">
        <v>17</v>
      </c>
      <c r="E198" s="20">
        <f t="shared" si="55"/>
        <v>0</v>
      </c>
      <c r="F198" s="21">
        <v>0</v>
      </c>
      <c r="G198" s="21">
        <v>0</v>
      </c>
      <c r="H198" s="21">
        <v>0</v>
      </c>
      <c r="I198" s="21">
        <v>0</v>
      </c>
      <c r="J198" s="21">
        <v>0</v>
      </c>
      <c r="K198" s="21">
        <v>0</v>
      </c>
      <c r="L198" s="21">
        <v>0</v>
      </c>
      <c r="M198" s="21">
        <v>0</v>
      </c>
      <c r="N198" s="21"/>
      <c r="O198" s="21"/>
      <c r="P198" s="21"/>
      <c r="Q198" s="21"/>
      <c r="R198" s="38"/>
      <c r="S198" s="38"/>
      <c r="T198" s="2"/>
      <c r="U198" s="2"/>
    </row>
    <row r="199" spans="1:21" ht="14.25" hidden="1" customHeight="1" x14ac:dyDescent="0.25">
      <c r="A199" s="259"/>
      <c r="B199" s="261"/>
      <c r="C199" s="263"/>
      <c r="D199" s="19" t="s">
        <v>18</v>
      </c>
      <c r="E199" s="20">
        <f t="shared" si="55"/>
        <v>0</v>
      </c>
      <c r="F199" s="21">
        <v>0</v>
      </c>
      <c r="G199" s="21">
        <v>0</v>
      </c>
      <c r="H199" s="21">
        <v>0</v>
      </c>
      <c r="I199" s="21">
        <v>0</v>
      </c>
      <c r="J199" s="21">
        <v>0</v>
      </c>
      <c r="K199" s="21">
        <v>0</v>
      </c>
      <c r="L199" s="21">
        <v>0</v>
      </c>
      <c r="M199" s="21">
        <v>0</v>
      </c>
      <c r="N199" s="21"/>
      <c r="O199" s="21"/>
      <c r="P199" s="21"/>
      <c r="Q199" s="21"/>
      <c r="R199" s="38"/>
      <c r="S199" s="38"/>
      <c r="T199" s="2"/>
      <c r="U199" s="2"/>
    </row>
    <row r="200" spans="1:21" ht="13.95" hidden="1" customHeight="1" x14ac:dyDescent="0.25">
      <c r="A200" s="259"/>
      <c r="B200" s="261"/>
      <c r="C200" s="263"/>
      <c r="D200" s="19" t="s">
        <v>19</v>
      </c>
      <c r="E200" s="20">
        <f t="shared" si="55"/>
        <v>0</v>
      </c>
      <c r="F200" s="21"/>
      <c r="G200" s="21"/>
      <c r="H200" s="21"/>
      <c r="I200" s="21"/>
      <c r="J200" s="21">
        <v>0</v>
      </c>
      <c r="K200" s="21">
        <v>0</v>
      </c>
      <c r="L200" s="21">
        <v>0</v>
      </c>
      <c r="M200" s="21">
        <v>0</v>
      </c>
      <c r="N200" s="21"/>
      <c r="O200" s="21"/>
      <c r="P200" s="21"/>
      <c r="Q200" s="21"/>
      <c r="R200" s="38"/>
      <c r="S200" s="38"/>
      <c r="T200" s="2"/>
      <c r="U200" s="2"/>
    </row>
    <row r="201" spans="1:21" ht="29.3" hidden="1" customHeight="1" x14ac:dyDescent="0.25">
      <c r="A201" s="260"/>
      <c r="B201" s="261"/>
      <c r="C201" s="264"/>
      <c r="D201" s="19" t="s">
        <v>21</v>
      </c>
      <c r="E201" s="20">
        <f t="shared" si="55"/>
        <v>0</v>
      </c>
      <c r="F201" s="21"/>
      <c r="G201" s="21">
        <v>0</v>
      </c>
      <c r="H201" s="21">
        <v>0</v>
      </c>
      <c r="I201" s="21">
        <v>0</v>
      </c>
      <c r="J201" s="21">
        <v>0</v>
      </c>
      <c r="K201" s="21">
        <v>0</v>
      </c>
      <c r="L201" s="21">
        <v>0</v>
      </c>
      <c r="M201" s="21">
        <v>0</v>
      </c>
      <c r="N201" s="21"/>
      <c r="O201" s="21"/>
      <c r="P201" s="21"/>
      <c r="Q201" s="21"/>
      <c r="R201" s="38"/>
      <c r="S201" s="38"/>
      <c r="T201" s="2"/>
      <c r="U201" s="2"/>
    </row>
    <row r="202" spans="1:21" ht="29.15" customHeight="1" x14ac:dyDescent="0.25">
      <c r="A202" s="166" t="s">
        <v>58</v>
      </c>
      <c r="B202" s="321" t="s">
        <v>63</v>
      </c>
      <c r="C202" s="268" t="s">
        <v>16</v>
      </c>
      <c r="D202" s="19" t="s">
        <v>29</v>
      </c>
      <c r="E202" s="20">
        <f>SUM(F202:Q202)</f>
        <v>297018.59999999998</v>
      </c>
      <c r="F202" s="21">
        <f t="shared" ref="F202:L202" si="59">SUM(F203:F205)</f>
        <v>0</v>
      </c>
      <c r="G202" s="21">
        <f>SUM(G203:G205)</f>
        <v>113437.99999999999</v>
      </c>
      <c r="H202" s="21">
        <f t="shared" si="59"/>
        <v>161861</v>
      </c>
      <c r="I202" s="21">
        <f t="shared" si="59"/>
        <v>16343.7</v>
      </c>
      <c r="J202" s="21">
        <f t="shared" si="59"/>
        <v>5206.3</v>
      </c>
      <c r="K202" s="21">
        <f t="shared" si="59"/>
        <v>169.59999999999991</v>
      </c>
      <c r="L202" s="21">
        <f t="shared" si="59"/>
        <v>0</v>
      </c>
      <c r="M202" s="21">
        <f>SUM(M203:M205)</f>
        <v>0</v>
      </c>
      <c r="N202" s="21">
        <f>SUM(N203:N205)</f>
        <v>7.2759576141834259E-12</v>
      </c>
      <c r="O202" s="21">
        <f>SUM(O203:O205)</f>
        <v>0</v>
      </c>
      <c r="P202" s="21">
        <f>SUM(P203:P205)</f>
        <v>0</v>
      </c>
      <c r="Q202" s="21">
        <f>SUM(Q203:Q205)</f>
        <v>0</v>
      </c>
      <c r="R202" s="38"/>
      <c r="S202" s="38"/>
      <c r="T202" s="2">
        <v>0</v>
      </c>
      <c r="U202" s="2"/>
    </row>
    <row r="203" spans="1:21" ht="41.9" customHeight="1" x14ac:dyDescent="0.25">
      <c r="A203" s="168"/>
      <c r="B203" s="322"/>
      <c r="C203" s="269"/>
      <c r="D203" s="19" t="s">
        <v>17</v>
      </c>
      <c r="E203" s="20">
        <f>SUM(F203:Q203)</f>
        <v>0</v>
      </c>
      <c r="F203" s="21">
        <v>0</v>
      </c>
      <c r="G203" s="21">
        <v>0</v>
      </c>
      <c r="H203" s="21">
        <v>0</v>
      </c>
      <c r="I203" s="21">
        <v>0</v>
      </c>
      <c r="J203" s="21">
        <v>0</v>
      </c>
      <c r="K203" s="21">
        <v>0</v>
      </c>
      <c r="L203" s="21">
        <v>0</v>
      </c>
      <c r="M203" s="21">
        <v>0</v>
      </c>
      <c r="N203" s="21">
        <v>0</v>
      </c>
      <c r="O203" s="21">
        <v>0</v>
      </c>
      <c r="P203" s="21">
        <v>0</v>
      </c>
      <c r="Q203" s="21">
        <v>0</v>
      </c>
      <c r="R203" s="38"/>
      <c r="S203" s="38"/>
      <c r="T203" s="2"/>
      <c r="U203" s="2"/>
    </row>
    <row r="204" spans="1:21" ht="31.6" customHeight="1" x14ac:dyDescent="0.25">
      <c r="A204" s="168"/>
      <c r="B204" s="174"/>
      <c r="C204" s="269"/>
      <c r="D204" s="19" t="s">
        <v>18</v>
      </c>
      <c r="E204" s="20">
        <f t="shared" ref="E204:E254" si="60">SUM(F204:Q204)</f>
        <v>89240</v>
      </c>
      <c r="F204" s="21">
        <v>0</v>
      </c>
      <c r="G204" s="21">
        <v>13672.7</v>
      </c>
      <c r="H204" s="21">
        <v>75567.3</v>
      </c>
      <c r="I204" s="21">
        <v>0</v>
      </c>
      <c r="J204" s="21">
        <v>0</v>
      </c>
      <c r="K204" s="21">
        <v>0</v>
      </c>
      <c r="L204" s="21">
        <v>0</v>
      </c>
      <c r="M204" s="21">
        <v>0</v>
      </c>
      <c r="N204" s="21">
        <f>115000+500-115500</f>
        <v>0</v>
      </c>
      <c r="O204" s="21">
        <v>0</v>
      </c>
      <c r="P204" s="21">
        <v>0</v>
      </c>
      <c r="Q204" s="21">
        <v>0</v>
      </c>
      <c r="R204" s="38"/>
      <c r="S204" s="38"/>
      <c r="T204" s="2"/>
      <c r="U204" s="2"/>
    </row>
    <row r="205" spans="1:21" ht="31.6" customHeight="1" x14ac:dyDescent="0.25">
      <c r="A205" s="168"/>
      <c r="B205" s="174"/>
      <c r="C205" s="269"/>
      <c r="D205" s="19" t="s">
        <v>19</v>
      </c>
      <c r="E205" s="20">
        <f t="shared" si="60"/>
        <v>207778.6</v>
      </c>
      <c r="F205" s="21">
        <v>0</v>
      </c>
      <c r="G205" s="21">
        <f>37625+387.5+846.1+2000+322.6+9300.5-387.5-322.6+49993.7</f>
        <v>99765.299999999988</v>
      </c>
      <c r="H205" s="21">
        <f>49993.7+8636.4+H211-8636.4</f>
        <v>86293.700000000012</v>
      </c>
      <c r="I205" s="21">
        <f>15000+1000+120.1+223.6</f>
        <v>16343.7</v>
      </c>
      <c r="J205" s="21">
        <v>5206.3</v>
      </c>
      <c r="K205" s="21">
        <f>32000-15000-15000-1830.4</f>
        <v>169.59999999999991</v>
      </c>
      <c r="L205" s="21">
        <v>0</v>
      </c>
      <c r="M205" s="21">
        <v>0</v>
      </c>
      <c r="N205" s="21">
        <f>33227.8+29.3-24420.1-1907.4-6929.6</f>
        <v>7.2759576141834259E-12</v>
      </c>
      <c r="O205" s="21">
        <v>0</v>
      </c>
      <c r="P205" s="21">
        <v>0</v>
      </c>
      <c r="Q205" s="21">
        <v>0</v>
      </c>
      <c r="R205" s="38"/>
      <c r="S205" s="38"/>
      <c r="T205" s="2">
        <v>0</v>
      </c>
      <c r="U205" s="2"/>
    </row>
    <row r="206" spans="1:21" ht="66.45" customHeight="1" x14ac:dyDescent="0.25">
      <c r="A206" s="168"/>
      <c r="B206" s="174"/>
      <c r="C206" s="269"/>
      <c r="D206" s="46" t="s">
        <v>20</v>
      </c>
      <c r="E206" s="20">
        <f t="shared" si="60"/>
        <v>23771.600000000002</v>
      </c>
      <c r="F206" s="21"/>
      <c r="G206" s="21">
        <f>13625+846.1+322.6+9300.5-322.6</f>
        <v>23771.600000000002</v>
      </c>
      <c r="H206" s="21">
        <v>0</v>
      </c>
      <c r="I206" s="21">
        <v>0</v>
      </c>
      <c r="J206" s="21">
        <v>0</v>
      </c>
      <c r="K206" s="21">
        <v>0</v>
      </c>
      <c r="L206" s="21">
        <v>0</v>
      </c>
      <c r="M206" s="21">
        <v>0</v>
      </c>
      <c r="N206" s="21">
        <v>0</v>
      </c>
      <c r="O206" s="21">
        <v>0</v>
      </c>
      <c r="P206" s="21">
        <v>0</v>
      </c>
      <c r="Q206" s="21">
        <v>0</v>
      </c>
      <c r="R206" s="38"/>
      <c r="S206" s="38"/>
      <c r="T206" s="2"/>
      <c r="U206" s="2"/>
    </row>
    <row r="207" spans="1:21" ht="29" customHeight="1" x14ac:dyDescent="0.25">
      <c r="A207" s="168"/>
      <c r="B207" s="174"/>
      <c r="C207" s="270"/>
      <c r="D207" s="19" t="s">
        <v>21</v>
      </c>
      <c r="E207" s="20">
        <f t="shared" si="60"/>
        <v>0</v>
      </c>
      <c r="F207" s="21"/>
      <c r="G207" s="21">
        <v>0</v>
      </c>
      <c r="H207" s="21">
        <v>0</v>
      </c>
      <c r="I207" s="21">
        <v>0</v>
      </c>
      <c r="J207" s="21">
        <v>0</v>
      </c>
      <c r="K207" s="21">
        <v>0</v>
      </c>
      <c r="L207" s="21">
        <v>0</v>
      </c>
      <c r="M207" s="21">
        <v>0</v>
      </c>
      <c r="N207" s="21">
        <v>0</v>
      </c>
      <c r="O207" s="21">
        <v>0</v>
      </c>
      <c r="P207" s="21">
        <v>0</v>
      </c>
      <c r="Q207" s="21">
        <v>0</v>
      </c>
      <c r="R207" s="38"/>
      <c r="S207" s="38"/>
      <c r="T207" s="2"/>
      <c r="U207" s="2"/>
    </row>
    <row r="208" spans="1:21" ht="30.8" customHeight="1" x14ac:dyDescent="0.25">
      <c r="A208" s="168"/>
      <c r="B208" s="175" t="s">
        <v>64</v>
      </c>
      <c r="C208" s="114"/>
      <c r="D208" s="19" t="s">
        <v>29</v>
      </c>
      <c r="E208" s="20">
        <f t="shared" si="60"/>
        <v>36300</v>
      </c>
      <c r="F208" s="21"/>
      <c r="G208" s="21">
        <f t="shared" ref="G208:L208" si="61">SUM(G209:G211)+G213</f>
        <v>0</v>
      </c>
      <c r="H208" s="21">
        <f t="shared" si="61"/>
        <v>36300</v>
      </c>
      <c r="I208" s="21">
        <f t="shared" si="61"/>
        <v>0</v>
      </c>
      <c r="J208" s="21">
        <f t="shared" si="61"/>
        <v>0</v>
      </c>
      <c r="K208" s="21">
        <f t="shared" si="61"/>
        <v>0</v>
      </c>
      <c r="L208" s="21">
        <f t="shared" si="61"/>
        <v>0</v>
      </c>
      <c r="M208" s="21">
        <f>SUM(M209:M211)+M213</f>
        <v>0</v>
      </c>
      <c r="N208" s="21">
        <f>SUM(N209:N211)+N213</f>
        <v>0</v>
      </c>
      <c r="O208" s="21">
        <f>SUM(O209:O211)+O213</f>
        <v>0</v>
      </c>
      <c r="P208" s="21">
        <f>SUM(P209:P211)+P213</f>
        <v>0</v>
      </c>
      <c r="Q208" s="21">
        <f>SUM(Q209:Q211)+Q213</f>
        <v>0</v>
      </c>
      <c r="R208" s="38"/>
      <c r="S208" s="38"/>
      <c r="T208" s="2"/>
      <c r="U208" s="2"/>
    </row>
    <row r="209" spans="1:21" ht="38" customHeight="1" x14ac:dyDescent="0.25">
      <c r="A209" s="168"/>
      <c r="B209" s="176"/>
      <c r="C209" s="115"/>
      <c r="D209" s="19" t="s">
        <v>17</v>
      </c>
      <c r="E209" s="20">
        <f t="shared" si="60"/>
        <v>0</v>
      </c>
      <c r="F209" s="21"/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21">
        <v>0</v>
      </c>
      <c r="N209" s="21">
        <v>0</v>
      </c>
      <c r="O209" s="21">
        <v>0</v>
      </c>
      <c r="P209" s="21">
        <v>0</v>
      </c>
      <c r="Q209" s="21">
        <v>0</v>
      </c>
      <c r="R209" s="38"/>
      <c r="S209" s="38"/>
      <c r="T209" s="2"/>
      <c r="U209" s="2"/>
    </row>
    <row r="210" spans="1:21" ht="29.65" customHeight="1" x14ac:dyDescent="0.25">
      <c r="A210" s="168"/>
      <c r="B210" s="175"/>
      <c r="C210" s="114"/>
      <c r="D210" s="25" t="s">
        <v>18</v>
      </c>
      <c r="E210" s="26">
        <f t="shared" si="60"/>
        <v>0</v>
      </c>
      <c r="F210" s="27"/>
      <c r="G210" s="27">
        <v>0</v>
      </c>
      <c r="H210" s="27">
        <v>0</v>
      </c>
      <c r="I210" s="27">
        <v>0</v>
      </c>
      <c r="J210" s="27">
        <v>0</v>
      </c>
      <c r="K210" s="27">
        <v>0</v>
      </c>
      <c r="L210" s="27">
        <v>0</v>
      </c>
      <c r="M210" s="27">
        <v>0</v>
      </c>
      <c r="N210" s="27">
        <v>0</v>
      </c>
      <c r="O210" s="27">
        <v>0</v>
      </c>
      <c r="P210" s="27">
        <v>0</v>
      </c>
      <c r="Q210" s="27">
        <v>0</v>
      </c>
      <c r="R210" s="38"/>
      <c r="S210" s="38"/>
      <c r="T210" s="2"/>
      <c r="U210" s="2"/>
    </row>
    <row r="211" spans="1:21" ht="37.35" customHeight="1" x14ac:dyDescent="0.25">
      <c r="A211" s="168"/>
      <c r="B211" s="329" t="s">
        <v>65</v>
      </c>
      <c r="C211" s="114"/>
      <c r="D211" s="19" t="s">
        <v>19</v>
      </c>
      <c r="E211" s="20">
        <f t="shared" si="60"/>
        <v>36300</v>
      </c>
      <c r="F211" s="21"/>
      <c r="G211" s="21">
        <v>0</v>
      </c>
      <c r="H211" s="21">
        <v>36300</v>
      </c>
      <c r="I211" s="21">
        <v>0</v>
      </c>
      <c r="J211" s="21">
        <v>0</v>
      </c>
      <c r="K211" s="21">
        <v>0</v>
      </c>
      <c r="L211" s="21">
        <v>0</v>
      </c>
      <c r="M211" s="21">
        <v>0</v>
      </c>
      <c r="N211" s="21">
        <v>0</v>
      </c>
      <c r="O211" s="21">
        <v>0</v>
      </c>
      <c r="P211" s="21">
        <v>0</v>
      </c>
      <c r="Q211" s="21">
        <v>0</v>
      </c>
      <c r="R211" s="38"/>
      <c r="S211" s="38"/>
      <c r="T211" s="2">
        <v>0</v>
      </c>
      <c r="U211" s="2"/>
    </row>
    <row r="212" spans="1:21" ht="51.75" customHeight="1" x14ac:dyDescent="0.25">
      <c r="A212" s="168"/>
      <c r="B212" s="330"/>
      <c r="C212" s="115"/>
      <c r="D212" s="19" t="s">
        <v>66</v>
      </c>
      <c r="E212" s="20">
        <f t="shared" si="60"/>
        <v>0</v>
      </c>
      <c r="F212" s="21"/>
      <c r="G212" s="21"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21">
        <v>0</v>
      </c>
      <c r="N212" s="21">
        <v>0</v>
      </c>
      <c r="O212" s="21">
        <v>0</v>
      </c>
      <c r="P212" s="21">
        <v>0</v>
      </c>
      <c r="Q212" s="21">
        <v>0</v>
      </c>
      <c r="R212" s="38"/>
      <c r="S212" s="38"/>
      <c r="T212" s="2"/>
      <c r="U212" s="2"/>
    </row>
    <row r="213" spans="1:21" ht="31.95" customHeight="1" x14ac:dyDescent="0.25">
      <c r="A213" s="170"/>
      <c r="B213" s="331"/>
      <c r="C213" s="115"/>
      <c r="D213" s="19" t="s">
        <v>21</v>
      </c>
      <c r="E213" s="20">
        <f t="shared" si="60"/>
        <v>0</v>
      </c>
      <c r="F213" s="21"/>
      <c r="G213" s="21">
        <v>0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21">
        <v>0</v>
      </c>
      <c r="N213" s="21">
        <v>0</v>
      </c>
      <c r="O213" s="21">
        <v>0</v>
      </c>
      <c r="P213" s="21">
        <v>0</v>
      </c>
      <c r="Q213" s="21">
        <v>0</v>
      </c>
      <c r="R213" s="38"/>
      <c r="S213" s="38"/>
      <c r="T213" s="2"/>
      <c r="U213" s="2"/>
    </row>
    <row r="214" spans="1:21" ht="33.4" customHeight="1" x14ac:dyDescent="0.25">
      <c r="A214" s="171" t="s">
        <v>67</v>
      </c>
      <c r="B214" s="306" t="s">
        <v>68</v>
      </c>
      <c r="C214" s="32"/>
      <c r="D214" s="19" t="s">
        <v>29</v>
      </c>
      <c r="E214" s="20">
        <f t="shared" si="60"/>
        <v>322.60000000000002</v>
      </c>
      <c r="F214" s="27"/>
      <c r="G214" s="27">
        <f t="shared" ref="G214:L214" si="62">G215+G216+G217+G219</f>
        <v>322.60000000000002</v>
      </c>
      <c r="H214" s="27">
        <f t="shared" si="62"/>
        <v>0</v>
      </c>
      <c r="I214" s="27">
        <f t="shared" si="62"/>
        <v>0</v>
      </c>
      <c r="J214" s="27">
        <f t="shared" si="62"/>
        <v>0</v>
      </c>
      <c r="K214" s="27">
        <f t="shared" si="62"/>
        <v>0</v>
      </c>
      <c r="L214" s="27">
        <f t="shared" si="62"/>
        <v>0</v>
      </c>
      <c r="M214" s="27">
        <f>M215+M216+M217+M219</f>
        <v>0</v>
      </c>
      <c r="N214" s="27">
        <f>N215+N216+N217+N219</f>
        <v>0</v>
      </c>
      <c r="O214" s="27">
        <f>O215+O216+O217+O219</f>
        <v>0</v>
      </c>
      <c r="P214" s="27">
        <f>P215+P216+P217+P219</f>
        <v>0</v>
      </c>
      <c r="Q214" s="27">
        <f>Q215+Q216+Q217+Q219</f>
        <v>0</v>
      </c>
      <c r="R214" s="38"/>
      <c r="S214" s="38"/>
      <c r="T214" s="2"/>
      <c r="U214" s="2"/>
    </row>
    <row r="215" spans="1:21" ht="32.1" customHeight="1" x14ac:dyDescent="0.25">
      <c r="A215" s="100"/>
      <c r="B215" s="289"/>
      <c r="C215" s="115"/>
      <c r="D215" s="19" t="s">
        <v>17</v>
      </c>
      <c r="E215" s="20">
        <f t="shared" si="60"/>
        <v>0</v>
      </c>
      <c r="F215" s="21"/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  <c r="N215" s="21">
        <v>0</v>
      </c>
      <c r="O215" s="21">
        <v>0</v>
      </c>
      <c r="P215" s="21">
        <v>0</v>
      </c>
      <c r="Q215" s="21">
        <v>0</v>
      </c>
      <c r="R215" s="38"/>
      <c r="S215" s="38"/>
      <c r="T215" s="2"/>
      <c r="U215" s="2"/>
    </row>
    <row r="216" spans="1:21" ht="32.9" customHeight="1" x14ac:dyDescent="0.25">
      <c r="A216" s="100"/>
      <c r="B216" s="289"/>
      <c r="C216" s="114"/>
      <c r="D216" s="25" t="s">
        <v>18</v>
      </c>
      <c r="E216" s="20">
        <f t="shared" si="60"/>
        <v>0</v>
      </c>
      <c r="F216" s="27"/>
      <c r="G216" s="27">
        <v>0</v>
      </c>
      <c r="H216" s="27">
        <v>0</v>
      </c>
      <c r="I216" s="27">
        <v>0</v>
      </c>
      <c r="J216" s="27">
        <v>0</v>
      </c>
      <c r="K216" s="27">
        <v>0</v>
      </c>
      <c r="L216" s="27">
        <v>0</v>
      </c>
      <c r="M216" s="27">
        <v>0</v>
      </c>
      <c r="N216" s="27">
        <v>0</v>
      </c>
      <c r="O216" s="27">
        <v>0</v>
      </c>
      <c r="P216" s="27">
        <v>0</v>
      </c>
      <c r="Q216" s="27">
        <v>0</v>
      </c>
      <c r="R216" s="38"/>
      <c r="S216" s="38"/>
      <c r="T216" s="2"/>
      <c r="U216" s="2"/>
    </row>
    <row r="217" spans="1:21" ht="34.85" customHeight="1" x14ac:dyDescent="0.25">
      <c r="A217" s="100"/>
      <c r="B217" s="289"/>
      <c r="C217" s="115"/>
      <c r="D217" s="19" t="s">
        <v>19</v>
      </c>
      <c r="E217" s="20">
        <f t="shared" si="60"/>
        <v>322.60000000000002</v>
      </c>
      <c r="F217" s="21"/>
      <c r="G217" s="21">
        <v>322.60000000000002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21">
        <v>0</v>
      </c>
      <c r="N217" s="21">
        <v>0</v>
      </c>
      <c r="O217" s="21">
        <v>0</v>
      </c>
      <c r="P217" s="21">
        <v>0</v>
      </c>
      <c r="Q217" s="21">
        <v>0</v>
      </c>
      <c r="R217" s="38"/>
      <c r="S217" s="38"/>
      <c r="T217" s="2">
        <v>0</v>
      </c>
      <c r="U217" s="2"/>
    </row>
    <row r="218" spans="1:21" ht="65.150000000000006" customHeight="1" x14ac:dyDescent="0.25">
      <c r="A218" s="209"/>
      <c r="B218" s="207"/>
      <c r="C218" s="215"/>
      <c r="D218" s="19" t="s">
        <v>20</v>
      </c>
      <c r="E218" s="20">
        <f t="shared" si="60"/>
        <v>322.60000000000002</v>
      </c>
      <c r="F218" s="27"/>
      <c r="G218" s="27">
        <f>G217</f>
        <v>322.60000000000002</v>
      </c>
      <c r="H218" s="27">
        <v>0</v>
      </c>
      <c r="I218" s="27">
        <v>0</v>
      </c>
      <c r="J218" s="27">
        <v>0</v>
      </c>
      <c r="K218" s="27">
        <v>0</v>
      </c>
      <c r="L218" s="27">
        <v>0</v>
      </c>
      <c r="M218" s="27">
        <v>0</v>
      </c>
      <c r="N218" s="27">
        <v>0</v>
      </c>
      <c r="O218" s="27">
        <v>0</v>
      </c>
      <c r="P218" s="27">
        <v>0</v>
      </c>
      <c r="Q218" s="27">
        <v>0</v>
      </c>
      <c r="R218" s="38"/>
      <c r="S218" s="38"/>
      <c r="T218" s="2">
        <v>0</v>
      </c>
      <c r="U218" s="2"/>
    </row>
    <row r="219" spans="1:21" ht="29.15" customHeight="1" x14ac:dyDescent="0.25">
      <c r="A219" s="169"/>
      <c r="B219" s="223"/>
      <c r="C219" s="216"/>
      <c r="D219" s="19" t="s">
        <v>21</v>
      </c>
      <c r="E219" s="20">
        <f t="shared" si="60"/>
        <v>0</v>
      </c>
      <c r="F219" s="21"/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21">
        <v>0</v>
      </c>
      <c r="N219" s="21">
        <v>0</v>
      </c>
      <c r="O219" s="21">
        <v>0</v>
      </c>
      <c r="P219" s="21">
        <v>0</v>
      </c>
      <c r="Q219" s="21">
        <v>0</v>
      </c>
      <c r="R219" s="38"/>
      <c r="S219" s="38"/>
      <c r="T219" s="2"/>
      <c r="U219" s="2"/>
    </row>
    <row r="220" spans="1:21" ht="19.649999999999999" customHeight="1" x14ac:dyDescent="0.25">
      <c r="A220" s="310" t="s">
        <v>69</v>
      </c>
      <c r="B220" s="332" t="s">
        <v>70</v>
      </c>
      <c r="C220" s="268" t="s">
        <v>16</v>
      </c>
      <c r="D220" s="19" t="s">
        <v>29</v>
      </c>
      <c r="E220" s="20">
        <f t="shared" si="60"/>
        <v>1299.9000000000001</v>
      </c>
      <c r="F220" s="21">
        <f t="shared" ref="F220:L220" si="63">SUM(F221:F223)</f>
        <v>0</v>
      </c>
      <c r="G220" s="21">
        <f>SUM(G221:G223)</f>
        <v>1299.9000000000001</v>
      </c>
      <c r="H220" s="21">
        <f t="shared" si="63"/>
        <v>0</v>
      </c>
      <c r="I220" s="21">
        <f t="shared" si="63"/>
        <v>0</v>
      </c>
      <c r="J220" s="21">
        <f t="shared" si="63"/>
        <v>0</v>
      </c>
      <c r="K220" s="21">
        <f t="shared" si="63"/>
        <v>0</v>
      </c>
      <c r="L220" s="21">
        <f t="shared" si="63"/>
        <v>0</v>
      </c>
      <c r="M220" s="21">
        <f>SUM(M221:M223)</f>
        <v>0</v>
      </c>
      <c r="N220" s="21">
        <f>SUM(N221:N223)</f>
        <v>0</v>
      </c>
      <c r="O220" s="21">
        <f>SUM(O221:O223)</f>
        <v>0</v>
      </c>
      <c r="P220" s="21">
        <f>SUM(P221:P223)</f>
        <v>0</v>
      </c>
      <c r="Q220" s="21">
        <f>SUM(Q221:Q223)</f>
        <v>0</v>
      </c>
      <c r="R220" s="38"/>
      <c r="S220" s="38"/>
      <c r="T220" s="2">
        <v>0</v>
      </c>
      <c r="U220" s="2"/>
    </row>
    <row r="221" spans="1:21" ht="25.55" customHeight="1" x14ac:dyDescent="0.25">
      <c r="A221" s="287"/>
      <c r="B221" s="287"/>
      <c r="C221" s="269"/>
      <c r="D221" s="19" t="s">
        <v>17</v>
      </c>
      <c r="E221" s="20">
        <f t="shared" si="60"/>
        <v>740</v>
      </c>
      <c r="F221" s="21">
        <v>0</v>
      </c>
      <c r="G221" s="21">
        <v>740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21">
        <v>0</v>
      </c>
      <c r="N221" s="21">
        <v>0</v>
      </c>
      <c r="O221" s="21">
        <v>0</v>
      </c>
      <c r="P221" s="21">
        <v>0</v>
      </c>
      <c r="Q221" s="21">
        <v>0</v>
      </c>
      <c r="R221" s="38"/>
      <c r="S221" s="38"/>
      <c r="T221" s="2"/>
      <c r="U221" s="2"/>
    </row>
    <row r="222" spans="1:21" ht="49.6" customHeight="1" x14ac:dyDescent="0.25">
      <c r="A222" s="287"/>
      <c r="B222" s="287"/>
      <c r="C222" s="269"/>
      <c r="D222" s="19" t="s">
        <v>18</v>
      </c>
      <c r="E222" s="20">
        <f t="shared" si="60"/>
        <v>170.1</v>
      </c>
      <c r="F222" s="21">
        <v>0</v>
      </c>
      <c r="G222" s="21">
        <v>170.1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21">
        <v>0</v>
      </c>
      <c r="N222" s="21">
        <v>0</v>
      </c>
      <c r="O222" s="21">
        <v>0</v>
      </c>
      <c r="P222" s="21">
        <v>0</v>
      </c>
      <c r="Q222" s="21">
        <v>0</v>
      </c>
      <c r="R222" s="38"/>
      <c r="S222" s="38"/>
      <c r="T222" s="2"/>
      <c r="U222" s="2"/>
    </row>
    <row r="223" spans="1:21" ht="28.15" customHeight="1" x14ac:dyDescent="0.25">
      <c r="A223" s="99"/>
      <c r="B223" s="95"/>
      <c r="C223" s="269"/>
      <c r="D223" s="19" t="s">
        <v>19</v>
      </c>
      <c r="E223" s="20">
        <f t="shared" si="60"/>
        <v>389.8</v>
      </c>
      <c r="F223" s="21">
        <v>0</v>
      </c>
      <c r="G223" s="21">
        <v>389.8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21">
        <v>0</v>
      </c>
      <c r="N223" s="21">
        <v>0</v>
      </c>
      <c r="O223" s="21">
        <v>0</v>
      </c>
      <c r="P223" s="21">
        <v>0</v>
      </c>
      <c r="Q223" s="21">
        <v>0</v>
      </c>
      <c r="R223" s="38"/>
      <c r="S223" s="38"/>
      <c r="T223" s="2"/>
      <c r="U223" s="2"/>
    </row>
    <row r="224" spans="1:21" ht="29.3" customHeight="1" x14ac:dyDescent="0.25">
      <c r="A224" s="24"/>
      <c r="B224" s="140"/>
      <c r="C224" s="270"/>
      <c r="D224" s="19" t="s">
        <v>21</v>
      </c>
      <c r="E224" s="20">
        <f t="shared" si="60"/>
        <v>0</v>
      </c>
      <c r="F224" s="21"/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21">
        <v>0</v>
      </c>
      <c r="N224" s="21">
        <v>0</v>
      </c>
      <c r="O224" s="21">
        <v>0</v>
      </c>
      <c r="P224" s="21">
        <v>0</v>
      </c>
      <c r="Q224" s="21">
        <v>0</v>
      </c>
      <c r="R224" s="38"/>
      <c r="S224" s="38"/>
      <c r="T224" s="2"/>
      <c r="U224" s="2"/>
    </row>
    <row r="225" spans="1:21" ht="26.2" customHeight="1" x14ac:dyDescent="0.25">
      <c r="A225" s="286" t="s">
        <v>71</v>
      </c>
      <c r="B225" s="333" t="s">
        <v>213</v>
      </c>
      <c r="C225" s="47"/>
      <c r="D225" s="19" t="s">
        <v>29</v>
      </c>
      <c r="E225" s="20">
        <f t="shared" si="60"/>
        <v>8824.7000000000007</v>
      </c>
      <c r="F225" s="21">
        <f t="shared" ref="F225:L225" si="64">SUM(F226:F228)</f>
        <v>0</v>
      </c>
      <c r="G225" s="21">
        <f>SUM(G226:G228)</f>
        <v>0</v>
      </c>
      <c r="H225" s="21">
        <f t="shared" si="64"/>
        <v>1764.7</v>
      </c>
      <c r="I225" s="21">
        <f t="shared" si="64"/>
        <v>2486.9999999999995</v>
      </c>
      <c r="J225" s="21">
        <f t="shared" si="64"/>
        <v>1800</v>
      </c>
      <c r="K225" s="21">
        <f t="shared" si="64"/>
        <v>2773</v>
      </c>
      <c r="L225" s="21">
        <f t="shared" si="64"/>
        <v>0</v>
      </c>
      <c r="M225" s="21">
        <f>SUM(M226:M228)</f>
        <v>0</v>
      </c>
      <c r="N225" s="21">
        <f>SUM(N226:N228)</f>
        <v>0</v>
      </c>
      <c r="O225" s="21">
        <f>SUM(O226:O228)</f>
        <v>0</v>
      </c>
      <c r="P225" s="21">
        <f>SUM(P226:P228)</f>
        <v>0</v>
      </c>
      <c r="Q225" s="21">
        <f>SUM(Q226:Q228)</f>
        <v>0</v>
      </c>
      <c r="R225" s="38"/>
      <c r="S225" s="38"/>
      <c r="T225" s="2">
        <v>0</v>
      </c>
      <c r="U225" s="2"/>
    </row>
    <row r="226" spans="1:21" ht="26.2" customHeight="1" x14ac:dyDescent="0.25">
      <c r="A226" s="286"/>
      <c r="B226" s="314"/>
      <c r="C226" s="117"/>
      <c r="D226" s="19" t="s">
        <v>17</v>
      </c>
      <c r="E226" s="20">
        <f t="shared" si="60"/>
        <v>3007.2</v>
      </c>
      <c r="F226" s="21">
        <v>0</v>
      </c>
      <c r="G226" s="21">
        <v>0</v>
      </c>
      <c r="H226" s="21">
        <v>1419.6</v>
      </c>
      <c r="I226" s="21">
        <v>1587.6</v>
      </c>
      <c r="J226" s="21">
        <v>0</v>
      </c>
      <c r="K226" s="21">
        <v>0</v>
      </c>
      <c r="L226" s="21">
        <v>0</v>
      </c>
      <c r="M226" s="21">
        <v>0</v>
      </c>
      <c r="N226" s="21">
        <v>0</v>
      </c>
      <c r="O226" s="21">
        <v>0</v>
      </c>
      <c r="P226" s="21">
        <v>0</v>
      </c>
      <c r="Q226" s="21">
        <v>0</v>
      </c>
      <c r="R226" s="38"/>
      <c r="S226" s="38"/>
      <c r="T226" s="2"/>
      <c r="U226" s="2"/>
    </row>
    <row r="227" spans="1:21" ht="26.85" customHeight="1" x14ac:dyDescent="0.25">
      <c r="A227" s="286"/>
      <c r="B227" s="314"/>
      <c r="C227" s="117"/>
      <c r="D227" s="19" t="s">
        <v>18</v>
      </c>
      <c r="E227" s="20">
        <f t="shared" si="60"/>
        <v>4628.2</v>
      </c>
      <c r="F227" s="21">
        <v>0</v>
      </c>
      <c r="G227" s="21">
        <v>0</v>
      </c>
      <c r="H227" s="21">
        <v>80.400000000000006</v>
      </c>
      <c r="I227" s="21">
        <v>474.2</v>
      </c>
      <c r="J227" s="21">
        <v>1577.9</v>
      </c>
      <c r="K227" s="21">
        <f>1350+1145.7</f>
        <v>2495.6999999999998</v>
      </c>
      <c r="L227" s="21">
        <v>0</v>
      </c>
      <c r="M227" s="21">
        <v>0</v>
      </c>
      <c r="N227" s="21">
        <v>0</v>
      </c>
      <c r="O227" s="21">
        <v>0</v>
      </c>
      <c r="P227" s="21">
        <v>0</v>
      </c>
      <c r="Q227" s="21">
        <v>0</v>
      </c>
      <c r="R227" s="38"/>
      <c r="S227" s="38"/>
      <c r="T227" s="2"/>
      <c r="U227" s="2"/>
    </row>
    <row r="228" spans="1:21" ht="27.65" customHeight="1" x14ac:dyDescent="0.25">
      <c r="A228" s="286"/>
      <c r="B228" s="314"/>
      <c r="C228" s="117"/>
      <c r="D228" s="19" t="s">
        <v>19</v>
      </c>
      <c r="E228" s="20">
        <f t="shared" si="60"/>
        <v>1189.3</v>
      </c>
      <c r="F228" s="21">
        <v>0</v>
      </c>
      <c r="G228" s="21">
        <v>0</v>
      </c>
      <c r="H228" s="21">
        <v>264.7</v>
      </c>
      <c r="I228" s="21">
        <v>425.2</v>
      </c>
      <c r="J228" s="21">
        <v>222.1</v>
      </c>
      <c r="K228" s="21">
        <f>277.3</f>
        <v>277.3</v>
      </c>
      <c r="L228" s="21">
        <v>0</v>
      </c>
      <c r="M228" s="21">
        <v>0</v>
      </c>
      <c r="N228" s="21">
        <v>0</v>
      </c>
      <c r="O228" s="21">
        <v>0</v>
      </c>
      <c r="P228" s="21">
        <v>0</v>
      </c>
      <c r="Q228" s="21">
        <v>0</v>
      </c>
      <c r="R228" s="38"/>
      <c r="S228" s="38"/>
      <c r="T228" s="2"/>
      <c r="U228" s="2"/>
    </row>
    <row r="229" spans="1:21" ht="36" customHeight="1" x14ac:dyDescent="0.25">
      <c r="A229" s="297"/>
      <c r="B229" s="315"/>
      <c r="C229" s="118"/>
      <c r="D229" s="19" t="s">
        <v>21</v>
      </c>
      <c r="E229" s="20">
        <f t="shared" si="60"/>
        <v>0</v>
      </c>
      <c r="F229" s="21"/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21">
        <v>0</v>
      </c>
      <c r="N229" s="21">
        <v>0</v>
      </c>
      <c r="O229" s="21">
        <v>0</v>
      </c>
      <c r="P229" s="21">
        <v>0</v>
      </c>
      <c r="Q229" s="21">
        <v>0</v>
      </c>
      <c r="R229" s="38"/>
      <c r="S229" s="38"/>
      <c r="T229" s="2"/>
      <c r="U229" s="2"/>
    </row>
    <row r="230" spans="1:21" ht="24.4" customHeight="1" x14ac:dyDescent="0.25">
      <c r="A230" s="319" t="s">
        <v>72</v>
      </c>
      <c r="B230" s="324" t="s">
        <v>172</v>
      </c>
      <c r="C230" s="32"/>
      <c r="D230" s="19" t="s">
        <v>29</v>
      </c>
      <c r="E230" s="20">
        <f t="shared" si="60"/>
        <v>22443</v>
      </c>
      <c r="F230" s="21"/>
      <c r="G230" s="21">
        <f t="shared" ref="G230:L230" si="65">SUM(G231:G234)</f>
        <v>0</v>
      </c>
      <c r="H230" s="21">
        <f t="shared" si="65"/>
        <v>0</v>
      </c>
      <c r="I230" s="21">
        <f>SUM(I231:I234)</f>
        <v>0</v>
      </c>
      <c r="J230" s="21">
        <f t="shared" si="65"/>
        <v>12040</v>
      </c>
      <c r="K230" s="21">
        <f t="shared" si="65"/>
        <v>10403</v>
      </c>
      <c r="L230" s="21">
        <f t="shared" si="65"/>
        <v>0</v>
      </c>
      <c r="M230" s="21">
        <f>SUM(M231:M234)</f>
        <v>0</v>
      </c>
      <c r="N230" s="21">
        <f>SUM(N231:N234)</f>
        <v>0</v>
      </c>
      <c r="O230" s="21">
        <f>SUM(O231:O234)</f>
        <v>0</v>
      </c>
      <c r="P230" s="21">
        <f>SUM(P231:P234)</f>
        <v>0</v>
      </c>
      <c r="Q230" s="21">
        <f>SUM(Q231:Q234)</f>
        <v>0</v>
      </c>
      <c r="R230" s="38"/>
      <c r="S230" s="38"/>
      <c r="T230" s="2">
        <v>0</v>
      </c>
      <c r="U230" s="2"/>
    </row>
    <row r="231" spans="1:21" ht="33.4" customHeight="1" x14ac:dyDescent="0.25">
      <c r="A231" s="323"/>
      <c r="B231" s="284"/>
      <c r="C231" s="114"/>
      <c r="D231" s="19" t="s">
        <v>17</v>
      </c>
      <c r="E231" s="20">
        <f t="shared" si="60"/>
        <v>0</v>
      </c>
      <c r="F231" s="21"/>
      <c r="G231" s="21">
        <v>0</v>
      </c>
      <c r="H231" s="21">
        <v>0</v>
      </c>
      <c r="I231" s="21">
        <v>0</v>
      </c>
      <c r="J231" s="21">
        <v>0</v>
      </c>
      <c r="K231" s="21">
        <v>0</v>
      </c>
      <c r="L231" s="21">
        <v>0</v>
      </c>
      <c r="M231" s="21">
        <v>0</v>
      </c>
      <c r="N231" s="21">
        <v>0</v>
      </c>
      <c r="O231" s="21">
        <v>0</v>
      </c>
      <c r="P231" s="21">
        <v>0</v>
      </c>
      <c r="Q231" s="21">
        <v>0</v>
      </c>
      <c r="R231" s="38"/>
      <c r="S231" s="38"/>
      <c r="T231" s="2"/>
      <c r="U231" s="2"/>
    </row>
    <row r="232" spans="1:21" ht="35.700000000000003" customHeight="1" x14ac:dyDescent="0.25">
      <c r="A232" s="323"/>
      <c r="B232" s="284"/>
      <c r="C232" s="114"/>
      <c r="D232" s="19" t="s">
        <v>18</v>
      </c>
      <c r="E232" s="20">
        <f t="shared" si="60"/>
        <v>0</v>
      </c>
      <c r="F232" s="21"/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21">
        <v>0</v>
      </c>
      <c r="N232" s="21">
        <v>0</v>
      </c>
      <c r="O232" s="21">
        <v>0</v>
      </c>
      <c r="P232" s="21">
        <v>0</v>
      </c>
      <c r="Q232" s="21">
        <v>0</v>
      </c>
      <c r="R232" s="38"/>
      <c r="S232" s="38"/>
      <c r="T232" s="2"/>
      <c r="U232" s="2"/>
    </row>
    <row r="233" spans="1:21" ht="32.25" customHeight="1" x14ac:dyDescent="0.25">
      <c r="A233" s="323"/>
      <c r="B233" s="284"/>
      <c r="C233" s="115"/>
      <c r="D233" s="19" t="s">
        <v>19</v>
      </c>
      <c r="E233" s="20">
        <f t="shared" si="60"/>
        <v>22443</v>
      </c>
      <c r="F233" s="21"/>
      <c r="G233" s="21">
        <v>0</v>
      </c>
      <c r="H233" s="21">
        <v>0</v>
      </c>
      <c r="I233" s="21">
        <v>0</v>
      </c>
      <c r="J233" s="21">
        <f>21464.3-9674.3+1100-900+50</f>
        <v>12040</v>
      </c>
      <c r="K233" s="21">
        <v>10403</v>
      </c>
      <c r="L233" s="21">
        <v>0</v>
      </c>
      <c r="M233" s="21">
        <v>0</v>
      </c>
      <c r="N233" s="21">
        <v>0</v>
      </c>
      <c r="O233" s="21">
        <v>0</v>
      </c>
      <c r="P233" s="21">
        <v>0</v>
      </c>
      <c r="Q233" s="21">
        <v>0</v>
      </c>
      <c r="R233" s="38"/>
      <c r="S233" s="38"/>
      <c r="T233" s="2"/>
      <c r="U233" s="2"/>
    </row>
    <row r="234" spans="1:21" ht="33.049999999999997" customHeight="1" x14ac:dyDescent="0.25">
      <c r="A234" s="23"/>
      <c r="B234" s="109"/>
      <c r="C234" s="48"/>
      <c r="D234" s="19" t="s">
        <v>21</v>
      </c>
      <c r="E234" s="20">
        <f t="shared" si="60"/>
        <v>0</v>
      </c>
      <c r="F234" s="21"/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21">
        <v>0</v>
      </c>
      <c r="N234" s="21">
        <v>0</v>
      </c>
      <c r="O234" s="21">
        <v>0</v>
      </c>
      <c r="P234" s="21">
        <v>0</v>
      </c>
      <c r="Q234" s="21">
        <v>0</v>
      </c>
      <c r="R234" s="38"/>
      <c r="S234" s="38"/>
      <c r="T234" s="2"/>
      <c r="U234" s="2"/>
    </row>
    <row r="235" spans="1:21" ht="33.049999999999997" customHeight="1" x14ac:dyDescent="0.25">
      <c r="A235" s="130" t="s">
        <v>73</v>
      </c>
      <c r="B235" s="242" t="s">
        <v>74</v>
      </c>
      <c r="C235" s="268" t="s">
        <v>75</v>
      </c>
      <c r="D235" s="19" t="s">
        <v>29</v>
      </c>
      <c r="E235" s="20">
        <f t="shared" si="60"/>
        <v>410787.39999999997</v>
      </c>
      <c r="F235" s="21">
        <f t="shared" ref="F235:L235" si="66">SUM(F236:F238)</f>
        <v>0</v>
      </c>
      <c r="G235" s="21">
        <f t="shared" si="66"/>
        <v>0</v>
      </c>
      <c r="H235" s="21">
        <f t="shared" si="66"/>
        <v>0</v>
      </c>
      <c r="I235" s="21">
        <f t="shared" si="66"/>
        <v>0</v>
      </c>
      <c r="J235" s="21">
        <f t="shared" si="66"/>
        <v>352849.89999999997</v>
      </c>
      <c r="K235" s="21">
        <f t="shared" si="66"/>
        <v>57937.5</v>
      </c>
      <c r="L235" s="21">
        <f t="shared" si="66"/>
        <v>0</v>
      </c>
      <c r="M235" s="21">
        <f>SUM(M236:M238)</f>
        <v>0</v>
      </c>
      <c r="N235" s="21">
        <f>SUM(N236:N238)</f>
        <v>0</v>
      </c>
      <c r="O235" s="21">
        <f>SUM(O236:O238)</f>
        <v>0</v>
      </c>
      <c r="P235" s="21">
        <f>SUM(P236:P238)</f>
        <v>0</v>
      </c>
      <c r="Q235" s="21">
        <f>SUM(Q236:Q238)</f>
        <v>0</v>
      </c>
      <c r="R235" s="38"/>
      <c r="S235" s="38"/>
      <c r="T235" s="2"/>
      <c r="U235" s="2"/>
    </row>
    <row r="236" spans="1:21" ht="29.95" customHeight="1" x14ac:dyDescent="0.25">
      <c r="A236" s="99"/>
      <c r="B236" s="325"/>
      <c r="C236" s="326"/>
      <c r="D236" s="19" t="s">
        <v>17</v>
      </c>
      <c r="E236" s="20">
        <f t="shared" si="60"/>
        <v>0</v>
      </c>
      <c r="F236" s="21">
        <v>0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21">
        <v>0</v>
      </c>
      <c r="N236" s="21">
        <v>0</v>
      </c>
      <c r="O236" s="21">
        <v>0</v>
      </c>
      <c r="P236" s="21">
        <v>0</v>
      </c>
      <c r="Q236" s="21">
        <v>0</v>
      </c>
      <c r="R236" s="38"/>
      <c r="S236" s="38"/>
      <c r="T236" s="2"/>
      <c r="U236" s="2"/>
    </row>
    <row r="237" spans="1:21" ht="41.25" customHeight="1" x14ac:dyDescent="0.25">
      <c r="A237" s="99"/>
      <c r="B237" s="128"/>
      <c r="C237" s="326"/>
      <c r="D237" s="19" t="s">
        <v>18</v>
      </c>
      <c r="E237" s="20">
        <f t="shared" si="60"/>
        <v>390247.8</v>
      </c>
      <c r="F237" s="21">
        <v>0</v>
      </c>
      <c r="G237" s="21">
        <v>0</v>
      </c>
      <c r="H237" s="21">
        <v>0</v>
      </c>
      <c r="I237" s="21">
        <v>0</v>
      </c>
      <c r="J237" s="21">
        <v>335207.3</v>
      </c>
      <c r="K237" s="21">
        <v>55040.5</v>
      </c>
      <c r="L237" s="21">
        <v>0</v>
      </c>
      <c r="M237" s="21">
        <v>0</v>
      </c>
      <c r="N237" s="21">
        <v>0</v>
      </c>
      <c r="O237" s="21">
        <v>0</v>
      </c>
      <c r="P237" s="21">
        <v>0</v>
      </c>
      <c r="Q237" s="21">
        <v>0</v>
      </c>
      <c r="R237" s="38"/>
      <c r="S237" s="38"/>
      <c r="T237" s="2"/>
      <c r="U237" s="2"/>
    </row>
    <row r="238" spans="1:21" ht="27" customHeight="1" x14ac:dyDescent="0.25">
      <c r="A238" s="99"/>
      <c r="B238" s="128"/>
      <c r="C238" s="326"/>
      <c r="D238" s="19" t="s">
        <v>19</v>
      </c>
      <c r="E238" s="20">
        <f t="shared" si="60"/>
        <v>20539.599999999999</v>
      </c>
      <c r="F238" s="21"/>
      <c r="G238" s="21">
        <v>0</v>
      </c>
      <c r="H238" s="21">
        <v>0</v>
      </c>
      <c r="I238" s="21">
        <v>0</v>
      </c>
      <c r="J238" s="21">
        <v>17642.599999999999</v>
      </c>
      <c r="K238" s="21">
        <v>2897</v>
      </c>
      <c r="L238" s="21">
        <v>0</v>
      </c>
      <c r="M238" s="21">
        <v>0</v>
      </c>
      <c r="N238" s="21">
        <v>0</v>
      </c>
      <c r="O238" s="21">
        <v>0</v>
      </c>
      <c r="P238" s="21">
        <v>0</v>
      </c>
      <c r="Q238" s="21">
        <v>0</v>
      </c>
      <c r="R238" s="38"/>
      <c r="S238" s="38"/>
      <c r="T238" s="2"/>
      <c r="U238" s="2"/>
    </row>
    <row r="239" spans="1:21" ht="41.25" customHeight="1" x14ac:dyDescent="0.25">
      <c r="A239" s="24"/>
      <c r="B239" s="129"/>
      <c r="C239" s="327"/>
      <c r="D239" s="19" t="s">
        <v>21</v>
      </c>
      <c r="E239" s="20">
        <f t="shared" si="60"/>
        <v>0</v>
      </c>
      <c r="F239" s="21"/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21">
        <v>0</v>
      </c>
      <c r="N239" s="21">
        <v>0</v>
      </c>
      <c r="O239" s="21">
        <v>0</v>
      </c>
      <c r="P239" s="21">
        <v>0</v>
      </c>
      <c r="Q239" s="21">
        <v>0</v>
      </c>
      <c r="R239" s="38"/>
      <c r="S239" s="38"/>
      <c r="T239" s="2"/>
      <c r="U239" s="2"/>
    </row>
    <row r="240" spans="1:21" ht="47.15" customHeight="1" x14ac:dyDescent="0.25">
      <c r="A240" s="132" t="s">
        <v>122</v>
      </c>
      <c r="B240" s="242" t="s">
        <v>123</v>
      </c>
      <c r="C240" s="268" t="s">
        <v>75</v>
      </c>
      <c r="D240" s="19" t="s">
        <v>29</v>
      </c>
      <c r="E240" s="20">
        <f t="shared" si="60"/>
        <v>265451.7</v>
      </c>
      <c r="F240" s="21">
        <f t="shared" ref="F240:L240" si="67">SUM(F241:F243)</f>
        <v>0</v>
      </c>
      <c r="G240" s="21">
        <f t="shared" si="67"/>
        <v>0</v>
      </c>
      <c r="H240" s="21">
        <f t="shared" si="67"/>
        <v>0</v>
      </c>
      <c r="I240" s="21">
        <f t="shared" si="67"/>
        <v>0</v>
      </c>
      <c r="J240" s="21">
        <f t="shared" si="67"/>
        <v>161771.70000000001</v>
      </c>
      <c r="K240" s="21">
        <f t="shared" si="67"/>
        <v>103680</v>
      </c>
      <c r="L240" s="21">
        <f t="shared" si="67"/>
        <v>0</v>
      </c>
      <c r="M240" s="21">
        <f>SUM(M241:M243)</f>
        <v>0</v>
      </c>
      <c r="N240" s="21">
        <f>SUM(N241:N243)</f>
        <v>0</v>
      </c>
      <c r="O240" s="21">
        <f>SUM(O241:O243)</f>
        <v>0</v>
      </c>
      <c r="P240" s="21">
        <f>SUM(P241:P243)</f>
        <v>0</v>
      </c>
      <c r="Q240" s="21">
        <f>SUM(Q241:Q243)</f>
        <v>0</v>
      </c>
      <c r="R240" s="38"/>
      <c r="S240" s="38"/>
      <c r="T240" s="2"/>
      <c r="U240" s="2"/>
    </row>
    <row r="241" spans="1:21" ht="41.9" customHeight="1" x14ac:dyDescent="0.25">
      <c r="A241" s="131"/>
      <c r="B241" s="325"/>
      <c r="C241" s="326"/>
      <c r="D241" s="19" t="s">
        <v>17</v>
      </c>
      <c r="E241" s="20">
        <f t="shared" si="60"/>
        <v>0</v>
      </c>
      <c r="F241" s="21">
        <v>0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21">
        <v>0</v>
      </c>
      <c r="N241" s="21">
        <v>0</v>
      </c>
      <c r="O241" s="21">
        <v>0</v>
      </c>
      <c r="P241" s="21">
        <v>0</v>
      </c>
      <c r="Q241" s="21">
        <v>0</v>
      </c>
      <c r="R241" s="38"/>
      <c r="S241" s="38"/>
      <c r="T241" s="2"/>
      <c r="U241" s="2"/>
    </row>
    <row r="242" spans="1:21" ht="38.299999999999997" customHeight="1" x14ac:dyDescent="0.25">
      <c r="A242" s="131"/>
      <c r="B242" s="325"/>
      <c r="C242" s="326"/>
      <c r="D242" s="19" t="s">
        <v>18</v>
      </c>
      <c r="E242" s="20">
        <f t="shared" si="60"/>
        <v>250395.8</v>
      </c>
      <c r="F242" s="21">
        <v>0</v>
      </c>
      <c r="G242" s="21">
        <v>0</v>
      </c>
      <c r="H242" s="21">
        <v>0</v>
      </c>
      <c r="I242" s="21">
        <v>0</v>
      </c>
      <c r="J242" s="21">
        <v>155074.6</v>
      </c>
      <c r="K242" s="21">
        <v>95321.2</v>
      </c>
      <c r="L242" s="21">
        <v>0</v>
      </c>
      <c r="M242" s="21">
        <v>0</v>
      </c>
      <c r="N242" s="21">
        <v>0</v>
      </c>
      <c r="O242" s="21">
        <v>0</v>
      </c>
      <c r="P242" s="21">
        <v>0</v>
      </c>
      <c r="Q242" s="21">
        <v>0</v>
      </c>
      <c r="R242" s="38"/>
      <c r="S242" s="38"/>
      <c r="T242" s="2"/>
      <c r="U242" s="2"/>
    </row>
    <row r="243" spans="1:21" ht="38.799999999999997" customHeight="1" x14ac:dyDescent="0.25">
      <c r="A243" s="131"/>
      <c r="B243" s="325"/>
      <c r="C243" s="326"/>
      <c r="D243" s="19" t="s">
        <v>19</v>
      </c>
      <c r="E243" s="20">
        <f t="shared" si="60"/>
        <v>15055.9</v>
      </c>
      <c r="F243" s="21"/>
      <c r="G243" s="21">
        <v>0</v>
      </c>
      <c r="H243" s="21"/>
      <c r="I243" s="21">
        <v>0</v>
      </c>
      <c r="J243" s="21">
        <v>6697.1</v>
      </c>
      <c r="K243" s="21">
        <v>8358.7999999999993</v>
      </c>
      <c r="L243" s="21">
        <v>0</v>
      </c>
      <c r="M243" s="21">
        <v>0</v>
      </c>
      <c r="N243" s="21">
        <v>0</v>
      </c>
      <c r="O243" s="21">
        <v>0</v>
      </c>
      <c r="P243" s="21">
        <v>0</v>
      </c>
      <c r="Q243" s="21">
        <v>0</v>
      </c>
      <c r="R243" s="38"/>
      <c r="S243" s="38"/>
      <c r="T243" s="2"/>
      <c r="U243" s="2"/>
    </row>
    <row r="244" spans="1:21" ht="33.75" customHeight="1" x14ac:dyDescent="0.25">
      <c r="A244" s="133"/>
      <c r="B244" s="328"/>
      <c r="C244" s="327"/>
      <c r="D244" s="19" t="s">
        <v>21</v>
      </c>
      <c r="E244" s="20">
        <f t="shared" si="60"/>
        <v>0</v>
      </c>
      <c r="F244" s="21"/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21">
        <v>0</v>
      </c>
      <c r="N244" s="21">
        <v>0</v>
      </c>
      <c r="O244" s="21">
        <v>0</v>
      </c>
      <c r="P244" s="21">
        <v>0</v>
      </c>
      <c r="Q244" s="21">
        <v>0</v>
      </c>
      <c r="R244" s="38"/>
      <c r="S244" s="38"/>
      <c r="T244" s="2"/>
      <c r="U244" s="2"/>
    </row>
    <row r="245" spans="1:21" ht="29.95" customHeight="1" x14ac:dyDescent="0.25">
      <c r="A245" s="222" t="s">
        <v>125</v>
      </c>
      <c r="B245" s="306" t="s">
        <v>223</v>
      </c>
      <c r="C245" s="49"/>
      <c r="D245" s="19" t="s">
        <v>29</v>
      </c>
      <c r="E245" s="20">
        <f t="shared" si="60"/>
        <v>21748.400000000001</v>
      </c>
      <c r="F245" s="21">
        <f t="shared" ref="F245:Q245" si="68">SUM(F246:F248)</f>
        <v>0</v>
      </c>
      <c r="G245" s="21">
        <f t="shared" si="68"/>
        <v>0</v>
      </c>
      <c r="H245" s="21">
        <f t="shared" si="68"/>
        <v>0</v>
      </c>
      <c r="I245" s="21">
        <f t="shared" si="68"/>
        <v>0</v>
      </c>
      <c r="J245" s="21">
        <f t="shared" si="68"/>
        <v>0</v>
      </c>
      <c r="K245" s="21">
        <f t="shared" si="68"/>
        <v>2591.1</v>
      </c>
      <c r="L245" s="21">
        <f t="shared" si="68"/>
        <v>9050.2000000000007</v>
      </c>
      <c r="M245" s="21">
        <f t="shared" si="68"/>
        <v>10104.5</v>
      </c>
      <c r="N245" s="21">
        <f t="shared" si="68"/>
        <v>2.6000000000003638</v>
      </c>
      <c r="O245" s="21">
        <f t="shared" si="68"/>
        <v>0</v>
      </c>
      <c r="P245" s="21">
        <f t="shared" si="68"/>
        <v>0</v>
      </c>
      <c r="Q245" s="21">
        <f t="shared" si="68"/>
        <v>0</v>
      </c>
      <c r="R245" s="38"/>
      <c r="S245" s="38"/>
      <c r="T245" s="2">
        <v>10200.200000000001</v>
      </c>
      <c r="U245" s="2"/>
    </row>
    <row r="246" spans="1:21" ht="36" customHeight="1" x14ac:dyDescent="0.25">
      <c r="A246" s="208"/>
      <c r="B246" s="289"/>
      <c r="C246" s="212"/>
      <c r="D246" s="19" t="s">
        <v>17</v>
      </c>
      <c r="E246" s="20">
        <f t="shared" si="60"/>
        <v>0</v>
      </c>
      <c r="F246" s="21">
        <v>0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21">
        <v>0</v>
      </c>
      <c r="N246" s="21">
        <v>0</v>
      </c>
      <c r="O246" s="21">
        <v>0</v>
      </c>
      <c r="P246" s="21">
        <v>0</v>
      </c>
      <c r="Q246" s="21">
        <v>0</v>
      </c>
      <c r="R246" s="38"/>
      <c r="S246" s="38"/>
      <c r="T246" s="2"/>
      <c r="U246" s="2"/>
    </row>
    <row r="247" spans="1:21" ht="39.450000000000003" customHeight="1" x14ac:dyDescent="0.25">
      <c r="A247" s="208"/>
      <c r="B247" s="289"/>
      <c r="C247" s="212"/>
      <c r="D247" s="19" t="s">
        <v>18</v>
      </c>
      <c r="E247" s="20">
        <f t="shared" si="60"/>
        <v>0</v>
      </c>
      <c r="F247" s="21">
        <v>0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21">
        <v>0</v>
      </c>
      <c r="N247" s="21">
        <v>0</v>
      </c>
      <c r="O247" s="21">
        <v>0</v>
      </c>
      <c r="P247" s="21">
        <v>0</v>
      </c>
      <c r="Q247" s="21">
        <v>0</v>
      </c>
      <c r="R247" s="38"/>
      <c r="S247" s="38"/>
      <c r="T247" s="2"/>
      <c r="U247" s="2"/>
    </row>
    <row r="248" spans="1:21" ht="38.15" customHeight="1" x14ac:dyDescent="0.25">
      <c r="A248" s="50"/>
      <c r="B248" s="288"/>
      <c r="C248" s="213"/>
      <c r="D248" s="19" t="s">
        <v>19</v>
      </c>
      <c r="E248" s="20">
        <f t="shared" si="60"/>
        <v>21748.400000000001</v>
      </c>
      <c r="F248" s="21"/>
      <c r="G248" s="21">
        <v>0</v>
      </c>
      <c r="H248" s="21">
        <v>0</v>
      </c>
      <c r="I248" s="21">
        <v>0</v>
      </c>
      <c r="J248" s="21">
        <v>0</v>
      </c>
      <c r="K248" s="21">
        <v>2591.1</v>
      </c>
      <c r="L248" s="21">
        <v>9050.2000000000007</v>
      </c>
      <c r="M248" s="21">
        <f>1921.5+8278.7-95.7</f>
        <v>10104.5</v>
      </c>
      <c r="N248" s="21">
        <f>10200.2-10197.6</f>
        <v>2.6000000000003638</v>
      </c>
      <c r="O248" s="21">
        <f>5699.8-5699.8</f>
        <v>0</v>
      </c>
      <c r="P248" s="21">
        <v>0</v>
      </c>
      <c r="Q248" s="21">
        <v>0</v>
      </c>
      <c r="R248" s="38"/>
      <c r="S248" s="38"/>
      <c r="T248" s="2">
        <v>10200.200000000001</v>
      </c>
      <c r="U248" s="2"/>
    </row>
    <row r="249" spans="1:21" ht="49.25" customHeight="1" x14ac:dyDescent="0.25">
      <c r="A249" s="99"/>
      <c r="B249" s="111"/>
      <c r="C249" s="103"/>
      <c r="D249" s="25" t="s">
        <v>197</v>
      </c>
      <c r="E249" s="26">
        <f t="shared" si="60"/>
        <v>9050.2000000000007</v>
      </c>
      <c r="F249" s="27"/>
      <c r="G249" s="27">
        <v>0</v>
      </c>
      <c r="H249" s="27">
        <v>0</v>
      </c>
      <c r="I249" s="27">
        <v>0</v>
      </c>
      <c r="J249" s="27">
        <v>0</v>
      </c>
      <c r="K249" s="27">
        <v>0</v>
      </c>
      <c r="L249" s="27">
        <v>0</v>
      </c>
      <c r="M249" s="27">
        <v>9050.2000000000007</v>
      </c>
      <c r="N249" s="27">
        <v>0</v>
      </c>
      <c r="O249" s="27">
        <v>0</v>
      </c>
      <c r="P249" s="27">
        <v>0</v>
      </c>
      <c r="Q249" s="27">
        <v>0</v>
      </c>
      <c r="R249" s="38"/>
      <c r="S249" s="38"/>
      <c r="T249" s="2"/>
      <c r="U249" s="2"/>
    </row>
    <row r="250" spans="1:21" ht="31.95" customHeight="1" x14ac:dyDescent="0.25">
      <c r="A250" s="171"/>
      <c r="B250" s="165"/>
      <c r="C250" s="104"/>
      <c r="D250" s="19" t="s">
        <v>21</v>
      </c>
      <c r="E250" s="20">
        <f t="shared" si="60"/>
        <v>0</v>
      </c>
      <c r="F250" s="21"/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21">
        <v>0</v>
      </c>
      <c r="N250" s="21">
        <v>0</v>
      </c>
      <c r="O250" s="21">
        <v>0</v>
      </c>
      <c r="P250" s="21">
        <v>0</v>
      </c>
      <c r="Q250" s="21">
        <v>0</v>
      </c>
      <c r="R250" s="38"/>
      <c r="S250" s="38"/>
      <c r="T250" s="2"/>
      <c r="U250" s="2"/>
    </row>
    <row r="251" spans="1:21" ht="24.75" customHeight="1" x14ac:dyDescent="0.25">
      <c r="A251" s="317" t="s">
        <v>132</v>
      </c>
      <c r="B251" s="276" t="s">
        <v>133</v>
      </c>
      <c r="C251" s="97"/>
      <c r="D251" s="19" t="s">
        <v>29</v>
      </c>
      <c r="E251" s="20">
        <f t="shared" si="60"/>
        <v>498708.3</v>
      </c>
      <c r="F251" s="21">
        <f t="shared" ref="F251:Q251" si="69">SUM(F252:F254)</f>
        <v>0</v>
      </c>
      <c r="G251" s="21">
        <f t="shared" si="69"/>
        <v>0</v>
      </c>
      <c r="H251" s="21">
        <f t="shared" si="69"/>
        <v>0</v>
      </c>
      <c r="I251" s="21">
        <f t="shared" si="69"/>
        <v>0</v>
      </c>
      <c r="J251" s="21">
        <f t="shared" si="69"/>
        <v>0</v>
      </c>
      <c r="K251" s="21">
        <f t="shared" si="69"/>
        <v>3936.7</v>
      </c>
      <c r="L251" s="21">
        <f t="shared" si="69"/>
        <v>66714.5</v>
      </c>
      <c r="M251" s="21">
        <f t="shared" si="69"/>
        <v>251731.80000000002</v>
      </c>
      <c r="N251" s="21">
        <f t="shared" si="69"/>
        <v>131113</v>
      </c>
      <c r="O251" s="21">
        <f t="shared" si="69"/>
        <v>45212.3</v>
      </c>
      <c r="P251" s="21">
        <f t="shared" si="69"/>
        <v>0</v>
      </c>
      <c r="Q251" s="21">
        <f t="shared" si="69"/>
        <v>0</v>
      </c>
      <c r="R251" s="38"/>
      <c r="S251" s="38"/>
      <c r="T251" s="2">
        <v>251731.8</v>
      </c>
      <c r="U251" s="2"/>
    </row>
    <row r="252" spans="1:21" ht="46.5" customHeight="1" x14ac:dyDescent="0.25">
      <c r="A252" s="336"/>
      <c r="B252" s="337"/>
      <c r="C252" s="104"/>
      <c r="D252" s="25" t="s">
        <v>17</v>
      </c>
      <c r="E252" s="20">
        <f t="shared" si="60"/>
        <v>0</v>
      </c>
      <c r="F252" s="21">
        <v>0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21">
        <v>0</v>
      </c>
      <c r="N252" s="21">
        <v>0</v>
      </c>
      <c r="O252" s="21">
        <v>0</v>
      </c>
      <c r="P252" s="21">
        <v>0</v>
      </c>
      <c r="Q252" s="21">
        <v>0</v>
      </c>
      <c r="R252" s="38"/>
      <c r="S252" s="38"/>
      <c r="T252" s="2"/>
      <c r="U252" s="2"/>
    </row>
    <row r="253" spans="1:21" ht="47.8" customHeight="1" x14ac:dyDescent="0.25">
      <c r="A253" s="70"/>
      <c r="B253" s="168"/>
      <c r="C253" s="104"/>
      <c r="D253" s="25" t="s">
        <v>18</v>
      </c>
      <c r="E253" s="26">
        <f t="shared" si="60"/>
        <v>468628.30000000005</v>
      </c>
      <c r="F253" s="27">
        <v>0</v>
      </c>
      <c r="G253" s="27">
        <v>0</v>
      </c>
      <c r="H253" s="27">
        <v>0</v>
      </c>
      <c r="I253" s="27">
        <v>0</v>
      </c>
      <c r="J253" s="27">
        <v>0</v>
      </c>
      <c r="K253" s="27">
        <v>3543</v>
      </c>
      <c r="L253" s="27">
        <f>62711.6+13973.5-13973.5</f>
        <v>62711.600000000006</v>
      </c>
      <c r="M253" s="27">
        <f>190766.2+45861.7</f>
        <v>236627.90000000002</v>
      </c>
      <c r="N253" s="27">
        <f>36212.3+93211.5-5940.9-236.7</f>
        <v>123246.20000000001</v>
      </c>
      <c r="O253" s="372">
        <f>2500+36212.3-2500+0.1+4754.4+1532.8</f>
        <v>42499.600000000006</v>
      </c>
      <c r="P253" s="27">
        <v>0</v>
      </c>
      <c r="Q253" s="27">
        <v>0</v>
      </c>
      <c r="R253" s="38"/>
      <c r="S253" s="38"/>
      <c r="T253" s="2">
        <v>236627.9</v>
      </c>
      <c r="U253" s="2"/>
    </row>
    <row r="254" spans="1:21" ht="38.799999999999997" customHeight="1" x14ac:dyDescent="0.25">
      <c r="A254" s="171"/>
      <c r="B254" s="168"/>
      <c r="C254" s="104"/>
      <c r="D254" s="19" t="s">
        <v>19</v>
      </c>
      <c r="E254" s="20">
        <f t="shared" si="60"/>
        <v>30080</v>
      </c>
      <c r="F254" s="27"/>
      <c r="G254" s="27">
        <v>0</v>
      </c>
      <c r="H254" s="27"/>
      <c r="I254" s="27">
        <v>0</v>
      </c>
      <c r="J254" s="27">
        <v>0</v>
      </c>
      <c r="K254" s="27">
        <v>393.7</v>
      </c>
      <c r="L254" s="27">
        <f>4002.9+891.9-891.9</f>
        <v>4002.9</v>
      </c>
      <c r="M254" s="27">
        <f>12176.6-0.1+2927.4-0.1+0.1</f>
        <v>15103.9</v>
      </c>
      <c r="N254" s="27">
        <f>2311.4+5949.7-379.2-15.1</f>
        <v>7866.8</v>
      </c>
      <c r="O254" s="27">
        <f>150+2321-159.6+303.5+97.8</f>
        <v>2712.7000000000003</v>
      </c>
      <c r="P254" s="27">
        <v>0</v>
      </c>
      <c r="Q254" s="27">
        <v>0</v>
      </c>
      <c r="R254" s="38"/>
      <c r="S254" s="38"/>
      <c r="T254" s="2">
        <v>15103.9</v>
      </c>
      <c r="U254" s="2"/>
    </row>
    <row r="255" spans="1:21" ht="41.25" customHeight="1" x14ac:dyDescent="0.25">
      <c r="A255" s="24"/>
      <c r="B255" s="170"/>
      <c r="C255" s="104"/>
      <c r="D255" s="25" t="s">
        <v>21</v>
      </c>
      <c r="E255" s="20">
        <f t="shared" ref="E255:E265" si="70">SUM(F255:Q255)</f>
        <v>0</v>
      </c>
      <c r="F255" s="21"/>
      <c r="G255" s="21">
        <v>0</v>
      </c>
      <c r="H255" s="21">
        <v>0</v>
      </c>
      <c r="I255" s="21">
        <v>0</v>
      </c>
      <c r="J255" s="21">
        <v>0</v>
      </c>
      <c r="K255" s="21">
        <v>0</v>
      </c>
      <c r="L255" s="21">
        <v>0</v>
      </c>
      <c r="M255" s="21">
        <v>0</v>
      </c>
      <c r="N255" s="21">
        <v>0</v>
      </c>
      <c r="O255" s="21">
        <v>0</v>
      </c>
      <c r="P255" s="21">
        <v>0</v>
      </c>
      <c r="Q255" s="21">
        <v>0</v>
      </c>
      <c r="R255" s="38"/>
      <c r="S255" s="38"/>
      <c r="T255" s="2"/>
      <c r="U255" s="2"/>
    </row>
    <row r="256" spans="1:21" ht="20.149999999999999" customHeight="1" x14ac:dyDescent="0.25">
      <c r="A256" s="286" t="s">
        <v>148</v>
      </c>
      <c r="B256" s="261" t="s">
        <v>161</v>
      </c>
      <c r="C256" s="101"/>
      <c r="D256" s="25" t="s">
        <v>29</v>
      </c>
      <c r="E256" s="26">
        <f t="shared" si="70"/>
        <v>48253.100000000006</v>
      </c>
      <c r="F256" s="27">
        <f t="shared" ref="F256:Q256" si="71">SUM(F257:F259)</f>
        <v>0</v>
      </c>
      <c r="G256" s="27">
        <f t="shared" si="71"/>
        <v>0</v>
      </c>
      <c r="H256" s="27">
        <f t="shared" si="71"/>
        <v>0</v>
      </c>
      <c r="I256" s="27">
        <f t="shared" si="71"/>
        <v>0</v>
      </c>
      <c r="J256" s="27">
        <f t="shared" si="71"/>
        <v>0</v>
      </c>
      <c r="K256" s="27">
        <f t="shared" si="71"/>
        <v>4500.6000000000004</v>
      </c>
      <c r="L256" s="27">
        <f t="shared" si="71"/>
        <v>5795.0999999999995</v>
      </c>
      <c r="M256" s="27">
        <f t="shared" si="71"/>
        <v>11614.1</v>
      </c>
      <c r="N256" s="27">
        <f t="shared" si="71"/>
        <v>12140.1</v>
      </c>
      <c r="O256" s="27">
        <f t="shared" si="71"/>
        <v>14203.2</v>
      </c>
      <c r="P256" s="27">
        <f t="shared" si="71"/>
        <v>0</v>
      </c>
      <c r="Q256" s="27">
        <f t="shared" si="71"/>
        <v>0</v>
      </c>
      <c r="R256" s="38"/>
      <c r="S256" s="38"/>
      <c r="T256" s="2">
        <v>8143.9</v>
      </c>
      <c r="U256" s="2"/>
    </row>
    <row r="257" spans="1:21" ht="34.200000000000003" customHeight="1" x14ac:dyDescent="0.25">
      <c r="A257" s="286"/>
      <c r="B257" s="335"/>
      <c r="C257" s="101"/>
      <c r="D257" s="19" t="s">
        <v>17</v>
      </c>
      <c r="E257" s="20">
        <f t="shared" si="70"/>
        <v>0</v>
      </c>
      <c r="F257" s="21">
        <v>0</v>
      </c>
      <c r="G257" s="21">
        <v>0</v>
      </c>
      <c r="H257" s="21">
        <v>0</v>
      </c>
      <c r="I257" s="21">
        <v>0</v>
      </c>
      <c r="J257" s="21">
        <v>0</v>
      </c>
      <c r="K257" s="21">
        <v>0</v>
      </c>
      <c r="L257" s="21">
        <v>0</v>
      </c>
      <c r="M257" s="21">
        <v>0</v>
      </c>
      <c r="N257" s="21">
        <v>0</v>
      </c>
      <c r="O257" s="21">
        <v>0</v>
      </c>
      <c r="P257" s="21">
        <v>0</v>
      </c>
      <c r="Q257" s="21">
        <v>0</v>
      </c>
      <c r="R257" s="38"/>
      <c r="S257" s="38"/>
      <c r="T257" s="2"/>
      <c r="U257" s="2"/>
    </row>
    <row r="258" spans="1:21" ht="33.4" customHeight="1" x14ac:dyDescent="0.25">
      <c r="A258" s="286"/>
      <c r="B258" s="335"/>
      <c r="C258" s="101"/>
      <c r="D258" s="19" t="s">
        <v>18</v>
      </c>
      <c r="E258" s="20">
        <f t="shared" si="70"/>
        <v>0</v>
      </c>
      <c r="F258" s="21">
        <v>0</v>
      </c>
      <c r="G258" s="21">
        <v>0</v>
      </c>
      <c r="H258" s="21">
        <v>0</v>
      </c>
      <c r="I258" s="21">
        <v>0</v>
      </c>
      <c r="J258" s="21">
        <v>0</v>
      </c>
      <c r="K258" s="21">
        <v>0</v>
      </c>
      <c r="L258" s="21">
        <v>0</v>
      </c>
      <c r="M258" s="21">
        <v>0</v>
      </c>
      <c r="N258" s="21">
        <v>0</v>
      </c>
      <c r="O258" s="21">
        <v>0</v>
      </c>
      <c r="P258" s="21">
        <v>0</v>
      </c>
      <c r="Q258" s="21">
        <v>0</v>
      </c>
      <c r="R258" s="38"/>
      <c r="S258" s="38"/>
      <c r="T258" s="2"/>
      <c r="U258" s="2"/>
    </row>
    <row r="259" spans="1:21" ht="33.049999999999997" customHeight="1" x14ac:dyDescent="0.25">
      <c r="A259" s="286"/>
      <c r="B259" s="335"/>
      <c r="C259" s="101"/>
      <c r="D259" s="19" t="s">
        <v>19</v>
      </c>
      <c r="E259" s="20">
        <f t="shared" si="70"/>
        <v>48253.100000000006</v>
      </c>
      <c r="F259" s="21"/>
      <c r="G259" s="21">
        <v>0</v>
      </c>
      <c r="H259" s="21">
        <v>0</v>
      </c>
      <c r="I259" s="21">
        <v>0</v>
      </c>
      <c r="J259" s="21">
        <v>0</v>
      </c>
      <c r="K259" s="21">
        <v>4500.6000000000004</v>
      </c>
      <c r="L259" s="21">
        <f>5758.4+36.7</f>
        <v>5795.0999999999995</v>
      </c>
      <c r="M259" s="21">
        <v>11614.1</v>
      </c>
      <c r="N259" s="21">
        <f>12586.4-153-0.1-245.8-47.4</f>
        <v>12140.1</v>
      </c>
      <c r="O259" s="21">
        <v>14203.2</v>
      </c>
      <c r="P259" s="21">
        <v>0</v>
      </c>
      <c r="Q259" s="21">
        <v>0</v>
      </c>
      <c r="R259" s="38"/>
      <c r="S259" s="38"/>
      <c r="T259" s="2">
        <v>8143.9</v>
      </c>
      <c r="U259" s="2"/>
    </row>
    <row r="260" spans="1:21" ht="43.55" customHeight="1" x14ac:dyDescent="0.25">
      <c r="A260" s="267"/>
      <c r="B260" s="128"/>
      <c r="C260" s="102"/>
      <c r="D260" s="19" t="s">
        <v>21</v>
      </c>
      <c r="E260" s="20">
        <f t="shared" si="70"/>
        <v>0</v>
      </c>
      <c r="F260" s="21"/>
      <c r="G260" s="21">
        <v>0</v>
      </c>
      <c r="H260" s="21">
        <v>0</v>
      </c>
      <c r="I260" s="21">
        <v>0</v>
      </c>
      <c r="J260" s="21">
        <v>0</v>
      </c>
      <c r="K260" s="21">
        <v>0</v>
      </c>
      <c r="L260" s="21">
        <v>0</v>
      </c>
      <c r="M260" s="21">
        <v>0</v>
      </c>
      <c r="N260" s="21">
        <v>0</v>
      </c>
      <c r="O260" s="21">
        <v>0</v>
      </c>
      <c r="P260" s="21">
        <v>0</v>
      </c>
      <c r="Q260" s="21">
        <v>0</v>
      </c>
      <c r="R260" s="38"/>
      <c r="S260" s="38"/>
      <c r="T260" s="2"/>
      <c r="U260" s="2"/>
    </row>
    <row r="261" spans="1:21" ht="36" customHeight="1" x14ac:dyDescent="0.25">
      <c r="A261" s="130" t="s">
        <v>149</v>
      </c>
      <c r="B261" s="242" t="s">
        <v>150</v>
      </c>
      <c r="C261" s="103"/>
      <c r="D261" s="25" t="s">
        <v>29</v>
      </c>
      <c r="E261" s="20">
        <f t="shared" si="70"/>
        <v>95462.2</v>
      </c>
      <c r="F261" s="21">
        <f t="shared" ref="F261:Q261" si="72">SUM(F262:F264)</f>
        <v>0</v>
      </c>
      <c r="G261" s="21">
        <f t="shared" si="72"/>
        <v>0</v>
      </c>
      <c r="H261" s="21">
        <f t="shared" si="72"/>
        <v>0</v>
      </c>
      <c r="I261" s="21">
        <f t="shared" si="72"/>
        <v>0</v>
      </c>
      <c r="J261" s="21">
        <f t="shared" si="72"/>
        <v>0</v>
      </c>
      <c r="K261" s="21">
        <f t="shared" si="72"/>
        <v>1708.6000000000001</v>
      </c>
      <c r="L261" s="21">
        <f>SUM(L262:L264)</f>
        <v>63804.5</v>
      </c>
      <c r="M261" s="21">
        <f t="shared" si="72"/>
        <v>29949.100000000002</v>
      </c>
      <c r="N261" s="21">
        <f t="shared" si="72"/>
        <v>0</v>
      </c>
      <c r="O261" s="21">
        <f t="shared" si="72"/>
        <v>0</v>
      </c>
      <c r="P261" s="21">
        <f t="shared" si="72"/>
        <v>0</v>
      </c>
      <c r="Q261" s="21">
        <f t="shared" si="72"/>
        <v>0</v>
      </c>
      <c r="R261" s="38"/>
      <c r="S261" s="38"/>
      <c r="T261" s="2">
        <v>29949.1</v>
      </c>
      <c r="U261" s="2"/>
    </row>
    <row r="262" spans="1:21" ht="33.4" customHeight="1" x14ac:dyDescent="0.25">
      <c r="A262" s="51"/>
      <c r="B262" s="284"/>
      <c r="C262" s="104"/>
      <c r="D262" s="19" t="s">
        <v>17</v>
      </c>
      <c r="E262" s="20">
        <f t="shared" si="70"/>
        <v>0</v>
      </c>
      <c r="F262" s="21">
        <v>0</v>
      </c>
      <c r="G262" s="21">
        <v>0</v>
      </c>
      <c r="H262" s="21">
        <v>0</v>
      </c>
      <c r="I262" s="21">
        <v>0</v>
      </c>
      <c r="J262" s="21">
        <v>0</v>
      </c>
      <c r="K262" s="21">
        <v>0</v>
      </c>
      <c r="L262" s="21">
        <v>0</v>
      </c>
      <c r="M262" s="21">
        <v>0</v>
      </c>
      <c r="N262" s="21">
        <v>0</v>
      </c>
      <c r="O262" s="21">
        <v>0</v>
      </c>
      <c r="P262" s="21">
        <v>0</v>
      </c>
      <c r="Q262" s="21">
        <v>0</v>
      </c>
      <c r="R262" s="38"/>
      <c r="S262" s="38"/>
      <c r="T262" s="2"/>
      <c r="U262" s="2"/>
    </row>
    <row r="263" spans="1:21" ht="35.549999999999997" customHeight="1" x14ac:dyDescent="0.25">
      <c r="A263" s="99"/>
      <c r="B263" s="128"/>
      <c r="C263" s="103"/>
      <c r="D263" s="25" t="s">
        <v>18</v>
      </c>
      <c r="E263" s="20">
        <f t="shared" si="70"/>
        <v>89646.9</v>
      </c>
      <c r="F263" s="21">
        <v>0</v>
      </c>
      <c r="G263" s="21">
        <v>0</v>
      </c>
      <c r="H263" s="21">
        <v>0</v>
      </c>
      <c r="I263" s="21">
        <v>0</v>
      </c>
      <c r="J263" s="21">
        <v>0</v>
      </c>
      <c r="K263" s="21">
        <v>1623.2</v>
      </c>
      <c r="L263" s="21">
        <f>6225.9+26301.1+27344.5</f>
        <v>59871.5</v>
      </c>
      <c r="M263" s="21">
        <v>28152.2</v>
      </c>
      <c r="N263" s="21">
        <v>0</v>
      </c>
      <c r="O263" s="21">
        <v>0</v>
      </c>
      <c r="P263" s="21">
        <v>0</v>
      </c>
      <c r="Q263" s="21">
        <v>0</v>
      </c>
      <c r="R263" s="38"/>
      <c r="S263" s="38"/>
      <c r="T263" s="2">
        <v>28152.2</v>
      </c>
      <c r="U263" s="2"/>
    </row>
    <row r="264" spans="1:21" ht="38.15" customHeight="1" x14ac:dyDescent="0.25">
      <c r="A264" s="99"/>
      <c r="B264" s="128"/>
      <c r="C264" s="103"/>
      <c r="D264" s="19" t="s">
        <v>19</v>
      </c>
      <c r="E264" s="20">
        <f t="shared" si="70"/>
        <v>5815.3</v>
      </c>
      <c r="F264" s="21"/>
      <c r="G264" s="21">
        <v>0</v>
      </c>
      <c r="H264" s="21"/>
      <c r="I264" s="21">
        <v>0</v>
      </c>
      <c r="J264" s="21">
        <v>0</v>
      </c>
      <c r="K264" s="21">
        <v>85.4</v>
      </c>
      <c r="L264" s="21">
        <f>397.4+1678.8+1856.8</f>
        <v>3933</v>
      </c>
      <c r="M264" s="21">
        <f>1796.9</f>
        <v>1796.9</v>
      </c>
      <c r="N264" s="21">
        <v>0</v>
      </c>
      <c r="O264" s="21">
        <v>0</v>
      </c>
      <c r="P264" s="21">
        <v>0</v>
      </c>
      <c r="Q264" s="21">
        <v>0</v>
      </c>
      <c r="R264" s="38"/>
      <c r="S264" s="38"/>
      <c r="T264" s="2">
        <v>1796.9</v>
      </c>
      <c r="U264" s="2"/>
    </row>
    <row r="265" spans="1:21" ht="41.25" customHeight="1" x14ac:dyDescent="0.25">
      <c r="A265" s="24"/>
      <c r="B265" s="129"/>
      <c r="C265" s="104"/>
      <c r="D265" s="19" t="s">
        <v>21</v>
      </c>
      <c r="E265" s="20">
        <f t="shared" si="70"/>
        <v>0</v>
      </c>
      <c r="F265" s="21"/>
      <c r="G265" s="21">
        <v>0</v>
      </c>
      <c r="H265" s="21">
        <v>0</v>
      </c>
      <c r="I265" s="21">
        <v>0</v>
      </c>
      <c r="J265" s="21">
        <v>0</v>
      </c>
      <c r="K265" s="21">
        <v>0</v>
      </c>
      <c r="L265" s="21">
        <v>0</v>
      </c>
      <c r="M265" s="21">
        <v>0</v>
      </c>
      <c r="N265" s="21">
        <v>0</v>
      </c>
      <c r="O265" s="21">
        <v>0</v>
      </c>
      <c r="P265" s="21">
        <v>0</v>
      </c>
      <c r="Q265" s="21">
        <v>0</v>
      </c>
      <c r="R265" s="38"/>
      <c r="S265" s="38"/>
      <c r="T265" s="2"/>
      <c r="U265" s="2"/>
    </row>
    <row r="266" spans="1:21" ht="20.149999999999999" hidden="1" customHeight="1" x14ac:dyDescent="0.25">
      <c r="A266" s="286" t="s">
        <v>159</v>
      </c>
      <c r="B266" s="261" t="s">
        <v>160</v>
      </c>
      <c r="C266" s="101"/>
      <c r="D266" s="25" t="s">
        <v>29</v>
      </c>
      <c r="E266" s="26">
        <f>SUM(F266:Q266)</f>
        <v>0</v>
      </c>
      <c r="F266" s="27">
        <f t="shared" ref="F266:Q266" si="73">SUM(F267:F269)</f>
        <v>0</v>
      </c>
      <c r="G266" s="27">
        <f t="shared" si="73"/>
        <v>0</v>
      </c>
      <c r="H266" s="27">
        <f t="shared" si="73"/>
        <v>0</v>
      </c>
      <c r="I266" s="27">
        <f t="shared" si="73"/>
        <v>0</v>
      </c>
      <c r="J266" s="27">
        <f t="shared" si="73"/>
        <v>0</v>
      </c>
      <c r="K266" s="27">
        <f t="shared" si="73"/>
        <v>0</v>
      </c>
      <c r="L266" s="27">
        <f t="shared" si="73"/>
        <v>0</v>
      </c>
      <c r="M266" s="27">
        <f t="shared" si="73"/>
        <v>0</v>
      </c>
      <c r="N266" s="27">
        <f t="shared" si="73"/>
        <v>0</v>
      </c>
      <c r="O266" s="27">
        <f t="shared" si="73"/>
        <v>0</v>
      </c>
      <c r="P266" s="27">
        <f t="shared" si="73"/>
        <v>0</v>
      </c>
      <c r="Q266" s="27">
        <f t="shared" si="73"/>
        <v>0</v>
      </c>
      <c r="R266" s="38"/>
      <c r="S266" s="38"/>
      <c r="T266" s="2"/>
      <c r="U266" s="2"/>
    </row>
    <row r="267" spans="1:21" ht="20.149999999999999" hidden="1" customHeight="1" x14ac:dyDescent="0.25">
      <c r="A267" s="286"/>
      <c r="B267" s="334"/>
      <c r="C267" s="101"/>
      <c r="D267" s="19" t="s">
        <v>17</v>
      </c>
      <c r="E267" s="20">
        <f>SUM(F267:Q267)</f>
        <v>0</v>
      </c>
      <c r="F267" s="21">
        <v>0</v>
      </c>
      <c r="G267" s="21">
        <v>0</v>
      </c>
      <c r="H267" s="21">
        <v>0</v>
      </c>
      <c r="I267" s="21">
        <v>0</v>
      </c>
      <c r="J267" s="21">
        <v>0</v>
      </c>
      <c r="K267" s="21">
        <v>0</v>
      </c>
      <c r="L267" s="21">
        <v>0</v>
      </c>
      <c r="M267" s="21">
        <v>0</v>
      </c>
      <c r="N267" s="21">
        <v>0</v>
      </c>
      <c r="O267" s="21">
        <v>0</v>
      </c>
      <c r="P267" s="21">
        <v>0</v>
      </c>
      <c r="Q267" s="21">
        <v>0</v>
      </c>
      <c r="R267" s="38"/>
      <c r="S267" s="38"/>
      <c r="T267" s="2"/>
      <c r="U267" s="2"/>
    </row>
    <row r="268" spans="1:21" ht="20.149999999999999" hidden="1" customHeight="1" x14ac:dyDescent="0.25">
      <c r="A268" s="286"/>
      <c r="B268" s="334"/>
      <c r="C268" s="101"/>
      <c r="D268" s="19" t="s">
        <v>18</v>
      </c>
      <c r="E268" s="20">
        <f>SUM(F268:Q268)</f>
        <v>0</v>
      </c>
      <c r="F268" s="21">
        <v>0</v>
      </c>
      <c r="G268" s="21">
        <v>0</v>
      </c>
      <c r="H268" s="21">
        <v>0</v>
      </c>
      <c r="I268" s="21">
        <v>0</v>
      </c>
      <c r="J268" s="21">
        <v>0</v>
      </c>
      <c r="K268" s="21">
        <v>0</v>
      </c>
      <c r="L268" s="21">
        <f>52500-52500</f>
        <v>0</v>
      </c>
      <c r="M268" s="21">
        <v>0</v>
      </c>
      <c r="N268" s="21">
        <v>0</v>
      </c>
      <c r="O268" s="21">
        <v>0</v>
      </c>
      <c r="P268" s="21">
        <v>0</v>
      </c>
      <c r="Q268" s="21">
        <v>0</v>
      </c>
      <c r="R268" s="38"/>
      <c r="S268" s="38"/>
      <c r="T268" s="2"/>
      <c r="U268" s="2"/>
    </row>
    <row r="269" spans="1:21" ht="20.149999999999999" hidden="1" customHeight="1" x14ac:dyDescent="0.25">
      <c r="A269" s="286"/>
      <c r="B269" s="334"/>
      <c r="C269" s="101"/>
      <c r="D269" s="19" t="s">
        <v>19</v>
      </c>
      <c r="E269" s="20">
        <f>SUM(F269:Q269)</f>
        <v>0</v>
      </c>
      <c r="F269" s="21"/>
      <c r="G269" s="21">
        <v>0</v>
      </c>
      <c r="H269" s="21"/>
      <c r="I269" s="21">
        <v>0</v>
      </c>
      <c r="J269" s="21">
        <v>0</v>
      </c>
      <c r="K269" s="21">
        <v>0</v>
      </c>
      <c r="L269" s="21">
        <f>3150+201.1-3351.1</f>
        <v>0</v>
      </c>
      <c r="M269" s="21">
        <v>0</v>
      </c>
      <c r="N269" s="21">
        <v>0</v>
      </c>
      <c r="O269" s="21">
        <v>0</v>
      </c>
      <c r="P269" s="21">
        <v>0</v>
      </c>
      <c r="Q269" s="21">
        <v>0</v>
      </c>
      <c r="R269" s="38"/>
      <c r="S269" s="38"/>
      <c r="T269" s="2"/>
      <c r="U269" s="2"/>
    </row>
    <row r="270" spans="1:21" ht="33.75" hidden="1" customHeight="1" x14ac:dyDescent="0.25">
      <c r="A270" s="267"/>
      <c r="B270" s="334"/>
      <c r="C270" s="101"/>
      <c r="D270" s="19" t="s">
        <v>21</v>
      </c>
      <c r="E270" s="20">
        <f>SUM(F270:Q270)</f>
        <v>0</v>
      </c>
      <c r="F270" s="21"/>
      <c r="G270" s="21">
        <v>0</v>
      </c>
      <c r="H270" s="21">
        <v>0</v>
      </c>
      <c r="I270" s="21">
        <v>0</v>
      </c>
      <c r="J270" s="21">
        <v>0</v>
      </c>
      <c r="K270" s="21">
        <v>0</v>
      </c>
      <c r="L270" s="21">
        <v>0</v>
      </c>
      <c r="M270" s="21">
        <v>0</v>
      </c>
      <c r="N270" s="21">
        <v>0</v>
      </c>
      <c r="O270" s="21">
        <v>0</v>
      </c>
      <c r="P270" s="21">
        <v>0</v>
      </c>
      <c r="Q270" s="21">
        <v>0</v>
      </c>
      <c r="R270" s="38"/>
      <c r="S270" s="38"/>
      <c r="T270" s="2"/>
      <c r="U270" s="2"/>
    </row>
    <row r="271" spans="1:21" ht="34.549999999999997" hidden="1" customHeight="1" x14ac:dyDescent="0.25">
      <c r="A271" s="310" t="s">
        <v>159</v>
      </c>
      <c r="B271" s="242" t="s">
        <v>195</v>
      </c>
      <c r="C271" s="101"/>
      <c r="D271" s="25" t="s">
        <v>29</v>
      </c>
      <c r="E271" s="26">
        <f t="shared" ref="E271:E285" si="74">SUM(F271:Q271)</f>
        <v>0</v>
      </c>
      <c r="F271" s="27">
        <f t="shared" ref="F271:Q271" si="75">SUM(F272:F274)</f>
        <v>0</v>
      </c>
      <c r="G271" s="27">
        <f t="shared" si="75"/>
        <v>0</v>
      </c>
      <c r="H271" s="27">
        <f t="shared" si="75"/>
        <v>0</v>
      </c>
      <c r="I271" s="27">
        <f t="shared" si="75"/>
        <v>0</v>
      </c>
      <c r="J271" s="27">
        <f t="shared" si="75"/>
        <v>0</v>
      </c>
      <c r="K271" s="27">
        <f t="shared" si="75"/>
        <v>0</v>
      </c>
      <c r="L271" s="27">
        <f t="shared" si="75"/>
        <v>0</v>
      </c>
      <c r="M271" s="27">
        <f t="shared" si="75"/>
        <v>0</v>
      </c>
      <c r="N271" s="27">
        <f t="shared" si="75"/>
        <v>0</v>
      </c>
      <c r="O271" s="27">
        <f t="shared" si="75"/>
        <v>0</v>
      </c>
      <c r="P271" s="27">
        <f t="shared" si="75"/>
        <v>0</v>
      </c>
      <c r="Q271" s="27">
        <f t="shared" si="75"/>
        <v>0</v>
      </c>
      <c r="R271" s="38"/>
      <c r="S271" s="38"/>
      <c r="T271" s="2"/>
      <c r="U271" s="2"/>
    </row>
    <row r="272" spans="1:21" ht="26.2" hidden="1" customHeight="1" x14ac:dyDescent="0.25">
      <c r="A272" s="286"/>
      <c r="B272" s="325"/>
      <c r="C272" s="101"/>
      <c r="D272" s="19" t="s">
        <v>17</v>
      </c>
      <c r="E272" s="20">
        <f t="shared" si="74"/>
        <v>0</v>
      </c>
      <c r="F272" s="21">
        <v>0</v>
      </c>
      <c r="G272" s="21">
        <v>0</v>
      </c>
      <c r="H272" s="21">
        <v>0</v>
      </c>
      <c r="I272" s="21">
        <v>0</v>
      </c>
      <c r="J272" s="21">
        <v>0</v>
      </c>
      <c r="K272" s="21">
        <v>0</v>
      </c>
      <c r="L272" s="21">
        <v>0</v>
      </c>
      <c r="M272" s="21">
        <v>0</v>
      </c>
      <c r="N272" s="21">
        <v>0</v>
      </c>
      <c r="O272" s="21">
        <v>0</v>
      </c>
      <c r="P272" s="21">
        <v>0</v>
      </c>
      <c r="Q272" s="21">
        <v>0</v>
      </c>
      <c r="R272" s="38"/>
      <c r="S272" s="38"/>
      <c r="T272" s="2"/>
      <c r="U272" s="2"/>
    </row>
    <row r="273" spans="1:21" ht="28.15" hidden="1" customHeight="1" x14ac:dyDescent="0.25">
      <c r="A273" s="286"/>
      <c r="B273" s="325"/>
      <c r="C273" s="101"/>
      <c r="D273" s="19" t="s">
        <v>18</v>
      </c>
      <c r="E273" s="20">
        <f t="shared" si="74"/>
        <v>0</v>
      </c>
      <c r="F273" s="21">
        <v>0</v>
      </c>
      <c r="G273" s="21">
        <v>0</v>
      </c>
      <c r="H273" s="21">
        <v>0</v>
      </c>
      <c r="I273" s="21">
        <v>0</v>
      </c>
      <c r="J273" s="21">
        <v>0</v>
      </c>
      <c r="K273" s="21">
        <v>0</v>
      </c>
      <c r="L273" s="21">
        <v>0</v>
      </c>
      <c r="M273" s="21">
        <v>0</v>
      </c>
      <c r="N273" s="21"/>
      <c r="O273" s="21">
        <v>0</v>
      </c>
      <c r="P273" s="21">
        <v>0</v>
      </c>
      <c r="Q273" s="21">
        <v>0</v>
      </c>
      <c r="R273" s="38"/>
      <c r="S273" s="38"/>
      <c r="T273" s="2">
        <v>98769.9</v>
      </c>
      <c r="U273" s="2"/>
    </row>
    <row r="274" spans="1:21" ht="25.55" hidden="1" customHeight="1" x14ac:dyDescent="0.25">
      <c r="A274" s="286"/>
      <c r="B274" s="325"/>
      <c r="C274" s="101"/>
      <c r="D274" s="19" t="s">
        <v>19</v>
      </c>
      <c r="E274" s="20">
        <f t="shared" si="74"/>
        <v>0</v>
      </c>
      <c r="F274" s="21"/>
      <c r="G274" s="21">
        <v>0</v>
      </c>
      <c r="H274" s="21"/>
      <c r="I274" s="21">
        <v>0</v>
      </c>
      <c r="J274" s="21">
        <v>0</v>
      </c>
      <c r="K274" s="21">
        <v>0</v>
      </c>
      <c r="L274" s="21">
        <v>0</v>
      </c>
      <c r="M274" s="21">
        <v>0</v>
      </c>
      <c r="N274" s="21"/>
      <c r="O274" s="21">
        <v>0</v>
      </c>
      <c r="P274" s="21">
        <v>0</v>
      </c>
      <c r="Q274" s="21">
        <v>0</v>
      </c>
      <c r="R274" s="38"/>
      <c r="S274" s="38"/>
      <c r="T274" s="2">
        <v>6304.4</v>
      </c>
      <c r="U274" s="2"/>
    </row>
    <row r="275" spans="1:21" ht="30.45" hidden="1" customHeight="1" x14ac:dyDescent="0.25">
      <c r="A275" s="297"/>
      <c r="B275" s="328"/>
      <c r="C275" s="102"/>
      <c r="D275" s="19" t="s">
        <v>21</v>
      </c>
      <c r="E275" s="20">
        <f t="shared" si="74"/>
        <v>0</v>
      </c>
      <c r="F275" s="21"/>
      <c r="G275" s="21">
        <v>0</v>
      </c>
      <c r="H275" s="21">
        <v>0</v>
      </c>
      <c r="I275" s="21">
        <v>0</v>
      </c>
      <c r="J275" s="21">
        <v>0</v>
      </c>
      <c r="K275" s="21">
        <v>0</v>
      </c>
      <c r="L275" s="21">
        <v>0</v>
      </c>
      <c r="M275" s="21">
        <v>0</v>
      </c>
      <c r="N275" s="21">
        <v>0</v>
      </c>
      <c r="O275" s="21">
        <v>0</v>
      </c>
      <c r="P275" s="21">
        <v>0</v>
      </c>
      <c r="Q275" s="21">
        <v>0</v>
      </c>
      <c r="R275" s="38"/>
      <c r="S275" s="38"/>
      <c r="T275" s="2"/>
      <c r="U275" s="2"/>
    </row>
    <row r="276" spans="1:21" ht="36" customHeight="1" x14ac:dyDescent="0.25">
      <c r="A276" s="310" t="s">
        <v>188</v>
      </c>
      <c r="B276" s="242" t="s">
        <v>189</v>
      </c>
      <c r="C276" s="103"/>
      <c r="D276" s="25" t="s">
        <v>29</v>
      </c>
      <c r="E276" s="26">
        <f t="shared" si="74"/>
        <v>10638.2</v>
      </c>
      <c r="F276" s="27">
        <f t="shared" ref="F276:Q276" si="76">SUM(F277:F279)</f>
        <v>0</v>
      </c>
      <c r="G276" s="27">
        <f t="shared" si="76"/>
        <v>0</v>
      </c>
      <c r="H276" s="27">
        <f t="shared" si="76"/>
        <v>0</v>
      </c>
      <c r="I276" s="27">
        <f t="shared" si="76"/>
        <v>0</v>
      </c>
      <c r="J276" s="27">
        <f t="shared" si="76"/>
        <v>0</v>
      </c>
      <c r="K276" s="27">
        <f t="shared" si="76"/>
        <v>0</v>
      </c>
      <c r="L276" s="27">
        <f t="shared" si="76"/>
        <v>0</v>
      </c>
      <c r="M276" s="27">
        <f t="shared" si="76"/>
        <v>2127.6999999999998</v>
      </c>
      <c r="N276" s="27">
        <f t="shared" si="76"/>
        <v>2127.6999999999998</v>
      </c>
      <c r="O276" s="27">
        <f t="shared" si="76"/>
        <v>2127.6</v>
      </c>
      <c r="P276" s="27">
        <f t="shared" si="76"/>
        <v>2127.6</v>
      </c>
      <c r="Q276" s="27">
        <f t="shared" si="76"/>
        <v>2127.6</v>
      </c>
      <c r="R276" s="38"/>
      <c r="S276" s="38"/>
      <c r="T276" s="2">
        <v>2127.6999999999998</v>
      </c>
      <c r="U276" s="2"/>
    </row>
    <row r="277" spans="1:21" ht="30.8" customHeight="1" x14ac:dyDescent="0.25">
      <c r="A277" s="286"/>
      <c r="B277" s="335"/>
      <c r="C277" s="103"/>
      <c r="D277" s="19" t="s">
        <v>17</v>
      </c>
      <c r="E277" s="20">
        <f t="shared" si="74"/>
        <v>0</v>
      </c>
      <c r="F277" s="21">
        <v>0</v>
      </c>
      <c r="G277" s="21">
        <v>0</v>
      </c>
      <c r="H277" s="21">
        <v>0</v>
      </c>
      <c r="I277" s="21">
        <v>0</v>
      </c>
      <c r="J277" s="21">
        <v>0</v>
      </c>
      <c r="K277" s="21">
        <v>0</v>
      </c>
      <c r="L277" s="21">
        <v>0</v>
      </c>
      <c r="M277" s="21">
        <v>0</v>
      </c>
      <c r="N277" s="21">
        <v>0</v>
      </c>
      <c r="O277" s="21">
        <v>0</v>
      </c>
      <c r="P277" s="21">
        <v>0</v>
      </c>
      <c r="Q277" s="21">
        <v>0</v>
      </c>
      <c r="R277" s="38"/>
      <c r="S277" s="38"/>
      <c r="T277" s="2"/>
      <c r="U277" s="2"/>
    </row>
    <row r="278" spans="1:21" ht="39.450000000000003" customHeight="1" x14ac:dyDescent="0.25">
      <c r="A278" s="286"/>
      <c r="B278" s="335"/>
      <c r="C278" s="103"/>
      <c r="D278" s="19" t="s">
        <v>18</v>
      </c>
      <c r="E278" s="20">
        <f t="shared" si="74"/>
        <v>10000</v>
      </c>
      <c r="F278" s="21">
        <v>0</v>
      </c>
      <c r="G278" s="21">
        <v>0</v>
      </c>
      <c r="H278" s="21">
        <v>0</v>
      </c>
      <c r="I278" s="21">
        <v>0</v>
      </c>
      <c r="J278" s="21">
        <v>0</v>
      </c>
      <c r="K278" s="21">
        <v>0</v>
      </c>
      <c r="L278" s="21">
        <v>0</v>
      </c>
      <c r="M278" s="21">
        <v>2000</v>
      </c>
      <c r="N278" s="21">
        <v>2000</v>
      </c>
      <c r="O278" s="21">
        <v>2000</v>
      </c>
      <c r="P278" s="21">
        <v>2000</v>
      </c>
      <c r="Q278" s="21">
        <v>2000</v>
      </c>
      <c r="R278" s="38"/>
      <c r="S278" s="38"/>
      <c r="T278" s="2">
        <v>2000</v>
      </c>
      <c r="U278" s="2"/>
    </row>
    <row r="279" spans="1:21" ht="36" customHeight="1" x14ac:dyDescent="0.25">
      <c r="A279" s="286"/>
      <c r="B279" s="335"/>
      <c r="C279" s="103"/>
      <c r="D279" s="19" t="s">
        <v>19</v>
      </c>
      <c r="E279" s="20">
        <f t="shared" si="74"/>
        <v>638.20000000000005</v>
      </c>
      <c r="F279" s="21"/>
      <c r="G279" s="21">
        <v>0</v>
      </c>
      <c r="H279" s="21">
        <v>0</v>
      </c>
      <c r="I279" s="21">
        <v>0</v>
      </c>
      <c r="J279" s="21">
        <v>0</v>
      </c>
      <c r="K279" s="21">
        <v>0</v>
      </c>
      <c r="L279" s="21">
        <v>0</v>
      </c>
      <c r="M279" s="21">
        <f>120+7.7</f>
        <v>127.7</v>
      </c>
      <c r="N279" s="21">
        <f>127.6+0.1</f>
        <v>127.69999999999999</v>
      </c>
      <c r="O279" s="21">
        <f>127.6+0.1-0.1</f>
        <v>127.6</v>
      </c>
      <c r="P279" s="21">
        <f>127.6+0.1-0.1</f>
        <v>127.6</v>
      </c>
      <c r="Q279" s="21">
        <f>127.6+0.1-0.1</f>
        <v>127.6</v>
      </c>
      <c r="R279" s="38"/>
      <c r="S279" s="38"/>
      <c r="T279" s="2">
        <v>127.7</v>
      </c>
      <c r="U279" s="2"/>
    </row>
    <row r="280" spans="1:21" ht="31.95" customHeight="1" x14ac:dyDescent="0.25">
      <c r="A280" s="297"/>
      <c r="B280" s="129"/>
      <c r="C280" s="103"/>
      <c r="D280" s="19" t="s">
        <v>21</v>
      </c>
      <c r="E280" s="20">
        <f t="shared" si="74"/>
        <v>0</v>
      </c>
      <c r="F280" s="21"/>
      <c r="G280" s="21">
        <v>0</v>
      </c>
      <c r="H280" s="21">
        <v>0</v>
      </c>
      <c r="I280" s="21">
        <v>0</v>
      </c>
      <c r="J280" s="21">
        <v>0</v>
      </c>
      <c r="K280" s="21">
        <v>0</v>
      </c>
      <c r="L280" s="21">
        <v>0</v>
      </c>
      <c r="M280" s="21">
        <v>0</v>
      </c>
      <c r="N280" s="21">
        <v>0</v>
      </c>
      <c r="O280" s="21">
        <v>0</v>
      </c>
      <c r="P280" s="21">
        <v>0</v>
      </c>
      <c r="Q280" s="21">
        <v>0</v>
      </c>
      <c r="R280" s="38"/>
      <c r="S280" s="38"/>
      <c r="T280" s="2"/>
      <c r="U280" s="2"/>
    </row>
    <row r="281" spans="1:21" ht="36" customHeight="1" x14ac:dyDescent="0.25">
      <c r="A281" s="310" t="s">
        <v>191</v>
      </c>
      <c r="B281" s="242" t="s">
        <v>192</v>
      </c>
      <c r="C281" s="212"/>
      <c r="D281" s="25" t="s">
        <v>29</v>
      </c>
      <c r="E281" s="26">
        <f t="shared" si="74"/>
        <v>11092.599999999999</v>
      </c>
      <c r="F281" s="27">
        <f t="shared" ref="F281:Q281" si="77">SUM(F282:F284)</f>
        <v>0</v>
      </c>
      <c r="G281" s="27">
        <f t="shared" si="77"/>
        <v>0</v>
      </c>
      <c r="H281" s="27">
        <f t="shared" si="77"/>
        <v>0</v>
      </c>
      <c r="I281" s="27">
        <f t="shared" si="77"/>
        <v>0</v>
      </c>
      <c r="J281" s="27">
        <f t="shared" si="77"/>
        <v>0</v>
      </c>
      <c r="K281" s="27">
        <f t="shared" si="77"/>
        <v>0</v>
      </c>
      <c r="L281" s="27">
        <f t="shared" si="77"/>
        <v>0</v>
      </c>
      <c r="M281" s="27">
        <f t="shared" si="77"/>
        <v>1686.8</v>
      </c>
      <c r="N281" s="27">
        <f t="shared" si="77"/>
        <v>1942.9999999999998</v>
      </c>
      <c r="O281" s="27">
        <f t="shared" si="77"/>
        <v>3057.6</v>
      </c>
      <c r="P281" s="27">
        <f t="shared" si="77"/>
        <v>4405.2</v>
      </c>
      <c r="Q281" s="27">
        <f t="shared" si="77"/>
        <v>0</v>
      </c>
      <c r="R281" s="38"/>
      <c r="S281" s="38"/>
      <c r="T281" s="2">
        <v>1686.6</v>
      </c>
      <c r="U281" s="2"/>
    </row>
    <row r="282" spans="1:21" ht="30.45" customHeight="1" x14ac:dyDescent="0.25">
      <c r="A282" s="286"/>
      <c r="B282" s="335"/>
      <c r="C282" s="212"/>
      <c r="D282" s="19" t="s">
        <v>17</v>
      </c>
      <c r="E282" s="20">
        <f t="shared" si="74"/>
        <v>0</v>
      </c>
      <c r="F282" s="21">
        <v>0</v>
      </c>
      <c r="G282" s="21">
        <v>0</v>
      </c>
      <c r="H282" s="21">
        <v>0</v>
      </c>
      <c r="I282" s="21">
        <v>0</v>
      </c>
      <c r="J282" s="21">
        <v>0</v>
      </c>
      <c r="K282" s="21">
        <v>0</v>
      </c>
      <c r="L282" s="21">
        <v>0</v>
      </c>
      <c r="M282" s="21">
        <v>0</v>
      </c>
      <c r="N282" s="21">
        <v>0</v>
      </c>
      <c r="O282" s="21">
        <v>0</v>
      </c>
      <c r="P282" s="21">
        <v>0</v>
      </c>
      <c r="Q282" s="21">
        <v>0</v>
      </c>
      <c r="R282" s="38"/>
      <c r="S282" s="38"/>
      <c r="T282" s="2"/>
      <c r="U282" s="2"/>
    </row>
    <row r="283" spans="1:21" ht="49.75" customHeight="1" x14ac:dyDescent="0.25">
      <c r="A283" s="286"/>
      <c r="B283" s="335"/>
      <c r="C283" s="212"/>
      <c r="D283" s="19" t="s">
        <v>18</v>
      </c>
      <c r="E283" s="20">
        <f t="shared" si="74"/>
        <v>10427.099999999999</v>
      </c>
      <c r="F283" s="21">
        <v>0</v>
      </c>
      <c r="G283" s="21">
        <v>0</v>
      </c>
      <c r="H283" s="21">
        <v>0</v>
      </c>
      <c r="I283" s="21">
        <v>0</v>
      </c>
      <c r="J283" s="21">
        <v>0</v>
      </c>
      <c r="K283" s="21">
        <v>0</v>
      </c>
      <c r="L283" s="21">
        <v>0</v>
      </c>
      <c r="M283" s="21">
        <v>1585.6</v>
      </c>
      <c r="N283" s="21">
        <f>1835.6-9.2</f>
        <v>1826.3999999999999</v>
      </c>
      <c r="O283" s="21">
        <v>2874.2</v>
      </c>
      <c r="P283" s="21">
        <v>4140.8999999999996</v>
      </c>
      <c r="Q283" s="21">
        <v>0</v>
      </c>
      <c r="R283" s="38"/>
      <c r="S283" s="38"/>
      <c r="T283" s="2">
        <v>1585.6</v>
      </c>
      <c r="U283" s="2"/>
    </row>
    <row r="284" spans="1:21" ht="38.15" customHeight="1" x14ac:dyDescent="0.25">
      <c r="A284" s="286"/>
      <c r="B284" s="335"/>
      <c r="C284" s="212"/>
      <c r="D284" s="19" t="s">
        <v>19</v>
      </c>
      <c r="E284" s="20">
        <f t="shared" si="74"/>
        <v>665.5</v>
      </c>
      <c r="F284" s="21"/>
      <c r="G284" s="21">
        <v>0</v>
      </c>
      <c r="H284" s="21">
        <v>0</v>
      </c>
      <c r="I284" s="21">
        <v>0</v>
      </c>
      <c r="J284" s="21">
        <v>0</v>
      </c>
      <c r="K284" s="21">
        <v>0</v>
      </c>
      <c r="L284" s="21">
        <v>0</v>
      </c>
      <c r="M284" s="21">
        <v>101.2</v>
      </c>
      <c r="N284" s="21">
        <f>117.2-0.6</f>
        <v>116.60000000000001</v>
      </c>
      <c r="O284" s="21">
        <f>183.5-0.1</f>
        <v>183.4</v>
      </c>
      <c r="P284" s="21">
        <v>264.3</v>
      </c>
      <c r="Q284" s="21">
        <v>0</v>
      </c>
      <c r="R284" s="38"/>
      <c r="S284" s="38"/>
      <c r="T284" s="2">
        <v>101.2</v>
      </c>
      <c r="U284" s="2"/>
    </row>
    <row r="285" spans="1:21" ht="30.8" customHeight="1" x14ac:dyDescent="0.25">
      <c r="A285" s="297"/>
      <c r="B285" s="225"/>
      <c r="C285" s="213"/>
      <c r="D285" s="19" t="s">
        <v>21</v>
      </c>
      <c r="E285" s="20">
        <f t="shared" si="74"/>
        <v>0</v>
      </c>
      <c r="F285" s="21"/>
      <c r="G285" s="21">
        <v>0</v>
      </c>
      <c r="H285" s="21">
        <v>0</v>
      </c>
      <c r="I285" s="21">
        <v>0</v>
      </c>
      <c r="J285" s="21">
        <v>0</v>
      </c>
      <c r="K285" s="21">
        <v>0</v>
      </c>
      <c r="L285" s="21">
        <v>0</v>
      </c>
      <c r="M285" s="21">
        <v>0</v>
      </c>
      <c r="N285" s="21">
        <v>0</v>
      </c>
      <c r="O285" s="21">
        <v>0</v>
      </c>
      <c r="P285" s="21">
        <v>0</v>
      </c>
      <c r="Q285" s="21">
        <v>0</v>
      </c>
      <c r="R285" s="38"/>
      <c r="S285" s="38"/>
      <c r="T285" s="2"/>
      <c r="U285" s="2"/>
    </row>
    <row r="286" spans="1:21" ht="36" customHeight="1" x14ac:dyDescent="0.25">
      <c r="A286" s="310" t="s">
        <v>198</v>
      </c>
      <c r="B286" s="242" t="s">
        <v>199</v>
      </c>
      <c r="C286" s="49"/>
      <c r="D286" s="19" t="s">
        <v>29</v>
      </c>
      <c r="E286" s="20">
        <f>SUM(F286:Q286)</f>
        <v>15135</v>
      </c>
      <c r="F286" s="21">
        <f t="shared" ref="F286:Q286" si="78">SUM(F287:F289)</f>
        <v>0</v>
      </c>
      <c r="G286" s="21">
        <f t="shared" si="78"/>
        <v>0</v>
      </c>
      <c r="H286" s="21">
        <f t="shared" si="78"/>
        <v>0</v>
      </c>
      <c r="I286" s="21">
        <f t="shared" si="78"/>
        <v>0</v>
      </c>
      <c r="J286" s="21">
        <f t="shared" si="78"/>
        <v>0</v>
      </c>
      <c r="K286" s="21">
        <f t="shared" si="78"/>
        <v>0</v>
      </c>
      <c r="L286" s="21">
        <f t="shared" si="78"/>
        <v>0</v>
      </c>
      <c r="M286" s="21">
        <f t="shared" si="78"/>
        <v>0</v>
      </c>
      <c r="N286" s="21">
        <f>SUM(N287:N289)</f>
        <v>2900.9</v>
      </c>
      <c r="O286" s="21">
        <f t="shared" si="78"/>
        <v>2127.6999999999998</v>
      </c>
      <c r="P286" s="21">
        <f t="shared" si="78"/>
        <v>10106.4</v>
      </c>
      <c r="Q286" s="21">
        <f t="shared" si="78"/>
        <v>0</v>
      </c>
      <c r="R286" s="38"/>
      <c r="S286" s="38"/>
      <c r="T286" s="2">
        <v>1686.6</v>
      </c>
      <c r="U286" s="2"/>
    </row>
    <row r="287" spans="1:21" ht="23.9" customHeight="1" x14ac:dyDescent="0.25">
      <c r="A287" s="286"/>
      <c r="B287" s="325"/>
      <c r="C287" s="103"/>
      <c r="D287" s="19" t="s">
        <v>17</v>
      </c>
      <c r="E287" s="20">
        <f>SUM(F287:Q287)</f>
        <v>0</v>
      </c>
      <c r="F287" s="21">
        <v>0</v>
      </c>
      <c r="G287" s="21">
        <v>0</v>
      </c>
      <c r="H287" s="21">
        <v>0</v>
      </c>
      <c r="I287" s="21">
        <v>0</v>
      </c>
      <c r="J287" s="21">
        <v>0</v>
      </c>
      <c r="K287" s="21">
        <v>0</v>
      </c>
      <c r="L287" s="21">
        <v>0</v>
      </c>
      <c r="M287" s="21">
        <v>0</v>
      </c>
      <c r="N287" s="21">
        <v>0</v>
      </c>
      <c r="O287" s="21">
        <v>0</v>
      </c>
      <c r="P287" s="21">
        <v>0</v>
      </c>
      <c r="Q287" s="21">
        <v>0</v>
      </c>
      <c r="R287" s="38"/>
      <c r="S287" s="38"/>
      <c r="T287" s="2"/>
      <c r="U287" s="2"/>
    </row>
    <row r="288" spans="1:21" ht="26.85" customHeight="1" x14ac:dyDescent="0.25">
      <c r="A288" s="286"/>
      <c r="B288" s="325"/>
      <c r="C288" s="103"/>
      <c r="D288" s="19" t="s">
        <v>18</v>
      </c>
      <c r="E288" s="20">
        <f>SUM(F288:Q288)</f>
        <v>14226.8</v>
      </c>
      <c r="F288" s="21">
        <v>0</v>
      </c>
      <c r="G288" s="21">
        <v>0</v>
      </c>
      <c r="H288" s="21">
        <v>0</v>
      </c>
      <c r="I288" s="21">
        <v>0</v>
      </c>
      <c r="J288" s="21">
        <v>0</v>
      </c>
      <c r="K288" s="21">
        <v>0</v>
      </c>
      <c r="L288" s="21">
        <v>0</v>
      </c>
      <c r="M288" s="21">
        <v>0</v>
      </c>
      <c r="N288" s="21">
        <v>2726.8</v>
      </c>
      <c r="O288" s="21">
        <f>10000-8000</f>
        <v>2000</v>
      </c>
      <c r="P288" s="21">
        <v>9500</v>
      </c>
      <c r="Q288" s="21">
        <v>0</v>
      </c>
      <c r="R288" s="38"/>
      <c r="S288" s="38"/>
      <c r="T288" s="2">
        <v>1585.6</v>
      </c>
      <c r="U288" s="2"/>
    </row>
    <row r="289" spans="1:21" ht="25.55" customHeight="1" x14ac:dyDescent="0.25">
      <c r="A289" s="286"/>
      <c r="B289" s="325"/>
      <c r="C289" s="103"/>
      <c r="D289" s="19" t="s">
        <v>19</v>
      </c>
      <c r="E289" s="20">
        <f>SUM(F289:Q289)</f>
        <v>908.19999999999993</v>
      </c>
      <c r="F289" s="21"/>
      <c r="G289" s="21">
        <v>0</v>
      </c>
      <c r="H289" s="21">
        <v>0</v>
      </c>
      <c r="I289" s="21">
        <v>0</v>
      </c>
      <c r="J289" s="21">
        <v>0</v>
      </c>
      <c r="K289" s="21">
        <v>0</v>
      </c>
      <c r="L289" s="21">
        <v>0</v>
      </c>
      <c r="M289" s="21">
        <v>0</v>
      </c>
      <c r="N289" s="21">
        <v>174.1</v>
      </c>
      <c r="O289" s="21">
        <f>638.3-510.6</f>
        <v>127.69999999999993</v>
      </c>
      <c r="P289" s="21">
        <v>606.4</v>
      </c>
      <c r="Q289" s="21">
        <v>0</v>
      </c>
      <c r="R289" s="38"/>
      <c r="S289" s="38"/>
      <c r="T289" s="2">
        <v>101.2</v>
      </c>
      <c r="U289" s="2"/>
    </row>
    <row r="290" spans="1:21" ht="30.8" customHeight="1" x14ac:dyDescent="0.25">
      <c r="A290" s="297"/>
      <c r="B290" s="129"/>
      <c r="C290" s="104"/>
      <c r="D290" s="19" t="s">
        <v>21</v>
      </c>
      <c r="E290" s="20">
        <f>SUM(F290:Q290)</f>
        <v>0</v>
      </c>
      <c r="F290" s="21"/>
      <c r="G290" s="21">
        <v>0</v>
      </c>
      <c r="H290" s="21">
        <v>0</v>
      </c>
      <c r="I290" s="21">
        <v>0</v>
      </c>
      <c r="J290" s="21">
        <v>0</v>
      </c>
      <c r="K290" s="21">
        <v>0</v>
      </c>
      <c r="L290" s="21">
        <v>0</v>
      </c>
      <c r="M290" s="21">
        <v>0</v>
      </c>
      <c r="N290" s="21">
        <v>0</v>
      </c>
      <c r="O290" s="21">
        <v>0</v>
      </c>
      <c r="P290" s="21">
        <v>0</v>
      </c>
      <c r="Q290" s="21">
        <v>0</v>
      </c>
      <c r="R290" s="38"/>
      <c r="S290" s="38"/>
      <c r="T290" s="2"/>
      <c r="U290" s="2"/>
    </row>
    <row r="291" spans="1:21" ht="38.15" customHeight="1" x14ac:dyDescent="0.25">
      <c r="A291" s="339" t="s">
        <v>128</v>
      </c>
      <c r="B291" s="340" t="s">
        <v>131</v>
      </c>
      <c r="C291" s="103"/>
      <c r="D291" s="41" t="s">
        <v>29</v>
      </c>
      <c r="E291" s="43">
        <f>E296</f>
        <v>4632.3</v>
      </c>
      <c r="F291" s="18"/>
      <c r="G291" s="18">
        <f t="shared" ref="G291:Q295" si="79">G296</f>
        <v>0</v>
      </c>
      <c r="H291" s="18">
        <f t="shared" si="79"/>
        <v>0</v>
      </c>
      <c r="I291" s="18">
        <f t="shared" si="79"/>
        <v>0</v>
      </c>
      <c r="J291" s="18">
        <f t="shared" si="79"/>
        <v>0</v>
      </c>
      <c r="K291" s="18">
        <f t="shared" si="79"/>
        <v>4632.3</v>
      </c>
      <c r="L291" s="18">
        <f t="shared" si="79"/>
        <v>0</v>
      </c>
      <c r="M291" s="18">
        <f t="shared" si="79"/>
        <v>0</v>
      </c>
      <c r="N291" s="18">
        <f t="shared" si="79"/>
        <v>0</v>
      </c>
      <c r="O291" s="18">
        <f t="shared" si="79"/>
        <v>0</v>
      </c>
      <c r="P291" s="18">
        <f t="shared" si="79"/>
        <v>0</v>
      </c>
      <c r="Q291" s="18">
        <f t="shared" si="79"/>
        <v>0</v>
      </c>
      <c r="R291" s="86"/>
      <c r="S291" s="86"/>
      <c r="T291" s="2">
        <v>0</v>
      </c>
      <c r="U291" s="2"/>
    </row>
    <row r="292" spans="1:21" ht="28.15" customHeight="1" x14ac:dyDescent="0.25">
      <c r="A292" s="289"/>
      <c r="B292" s="325"/>
      <c r="C292" s="104"/>
      <c r="D292" s="19" t="s">
        <v>17</v>
      </c>
      <c r="E292" s="21">
        <f>E297</f>
        <v>0</v>
      </c>
      <c r="F292" s="21"/>
      <c r="G292" s="21">
        <f t="shared" si="79"/>
        <v>0</v>
      </c>
      <c r="H292" s="21">
        <f t="shared" si="79"/>
        <v>0</v>
      </c>
      <c r="I292" s="21">
        <f t="shared" si="79"/>
        <v>0</v>
      </c>
      <c r="J292" s="21">
        <f t="shared" si="79"/>
        <v>0</v>
      </c>
      <c r="K292" s="21">
        <f t="shared" si="79"/>
        <v>0</v>
      </c>
      <c r="L292" s="21">
        <f t="shared" si="79"/>
        <v>0</v>
      </c>
      <c r="M292" s="21">
        <f t="shared" si="79"/>
        <v>0</v>
      </c>
      <c r="N292" s="21">
        <f t="shared" si="79"/>
        <v>0</v>
      </c>
      <c r="O292" s="21">
        <f t="shared" si="79"/>
        <v>0</v>
      </c>
      <c r="P292" s="21">
        <f t="shared" si="79"/>
        <v>0</v>
      </c>
      <c r="Q292" s="21">
        <f t="shared" si="79"/>
        <v>0</v>
      </c>
      <c r="R292" s="38"/>
      <c r="S292" s="38"/>
      <c r="T292" s="2"/>
      <c r="U292" s="2"/>
    </row>
    <row r="293" spans="1:21" ht="29.65" customHeight="1" x14ac:dyDescent="0.25">
      <c r="A293" s="289"/>
      <c r="B293" s="325"/>
      <c r="C293" s="103"/>
      <c r="D293" s="25" t="s">
        <v>18</v>
      </c>
      <c r="E293" s="27">
        <f>E298</f>
        <v>4400.7</v>
      </c>
      <c r="F293" s="27"/>
      <c r="G293" s="27">
        <f t="shared" si="79"/>
        <v>0</v>
      </c>
      <c r="H293" s="27">
        <f t="shared" si="79"/>
        <v>0</v>
      </c>
      <c r="I293" s="27">
        <f t="shared" si="79"/>
        <v>0</v>
      </c>
      <c r="J293" s="27">
        <f t="shared" si="79"/>
        <v>0</v>
      </c>
      <c r="K293" s="27">
        <f t="shared" si="79"/>
        <v>4400.7</v>
      </c>
      <c r="L293" s="27">
        <f t="shared" si="79"/>
        <v>0</v>
      </c>
      <c r="M293" s="27">
        <f t="shared" si="79"/>
        <v>0</v>
      </c>
      <c r="N293" s="27">
        <f t="shared" si="79"/>
        <v>0</v>
      </c>
      <c r="O293" s="27">
        <f t="shared" si="79"/>
        <v>0</v>
      </c>
      <c r="P293" s="27">
        <f t="shared" si="79"/>
        <v>0</v>
      </c>
      <c r="Q293" s="27">
        <f t="shared" si="79"/>
        <v>0</v>
      </c>
      <c r="R293" s="38"/>
      <c r="S293" s="38"/>
      <c r="T293" s="2">
        <v>0</v>
      </c>
      <c r="U293" s="2"/>
    </row>
    <row r="294" spans="1:21" ht="31.95" customHeight="1" x14ac:dyDescent="0.25">
      <c r="A294" s="289"/>
      <c r="B294" s="325"/>
      <c r="C294" s="103"/>
      <c r="D294" s="19" t="s">
        <v>19</v>
      </c>
      <c r="E294" s="21">
        <f>E299</f>
        <v>231.6</v>
      </c>
      <c r="F294" s="21"/>
      <c r="G294" s="21">
        <f t="shared" si="79"/>
        <v>0</v>
      </c>
      <c r="H294" s="21">
        <f t="shared" si="79"/>
        <v>0</v>
      </c>
      <c r="I294" s="21">
        <f t="shared" si="79"/>
        <v>0</v>
      </c>
      <c r="J294" s="21">
        <f t="shared" si="79"/>
        <v>0</v>
      </c>
      <c r="K294" s="21">
        <f t="shared" si="79"/>
        <v>231.6</v>
      </c>
      <c r="L294" s="21">
        <f t="shared" si="79"/>
        <v>0</v>
      </c>
      <c r="M294" s="21">
        <f t="shared" si="79"/>
        <v>0</v>
      </c>
      <c r="N294" s="21">
        <f t="shared" si="79"/>
        <v>0</v>
      </c>
      <c r="O294" s="21">
        <f t="shared" si="79"/>
        <v>0</v>
      </c>
      <c r="P294" s="21">
        <f t="shared" si="79"/>
        <v>0</v>
      </c>
      <c r="Q294" s="21">
        <f t="shared" si="79"/>
        <v>0</v>
      </c>
      <c r="R294" s="38"/>
      <c r="S294" s="38"/>
      <c r="T294" s="2">
        <v>0</v>
      </c>
      <c r="U294" s="2"/>
    </row>
    <row r="295" spans="1:21" ht="34.85" customHeight="1" x14ac:dyDescent="0.25">
      <c r="A295" s="288"/>
      <c r="B295" s="328"/>
      <c r="C295" s="103"/>
      <c r="D295" s="19" t="s">
        <v>21</v>
      </c>
      <c r="E295" s="21">
        <f>E300</f>
        <v>0</v>
      </c>
      <c r="F295" s="21"/>
      <c r="G295" s="21">
        <f t="shared" si="79"/>
        <v>0</v>
      </c>
      <c r="H295" s="21">
        <f t="shared" si="79"/>
        <v>0</v>
      </c>
      <c r="I295" s="21">
        <f t="shared" si="79"/>
        <v>0</v>
      </c>
      <c r="J295" s="21">
        <f t="shared" si="79"/>
        <v>0</v>
      </c>
      <c r="K295" s="21">
        <f t="shared" si="79"/>
        <v>0</v>
      </c>
      <c r="L295" s="21">
        <f t="shared" si="79"/>
        <v>0</v>
      </c>
      <c r="M295" s="21">
        <f t="shared" si="79"/>
        <v>0</v>
      </c>
      <c r="N295" s="21">
        <f t="shared" si="79"/>
        <v>0</v>
      </c>
      <c r="O295" s="21">
        <f t="shared" si="79"/>
        <v>0</v>
      </c>
      <c r="P295" s="21">
        <f t="shared" si="79"/>
        <v>0</v>
      </c>
      <c r="Q295" s="21">
        <f t="shared" si="79"/>
        <v>0</v>
      </c>
      <c r="R295" s="38"/>
      <c r="S295" s="38"/>
      <c r="T295" s="2"/>
      <c r="U295" s="2"/>
    </row>
    <row r="296" spans="1:21" ht="30.8" customHeight="1" x14ac:dyDescent="0.25">
      <c r="A296" s="286" t="s">
        <v>129</v>
      </c>
      <c r="B296" s="242" t="s">
        <v>130</v>
      </c>
      <c r="C296" s="101"/>
      <c r="D296" s="19" t="s">
        <v>29</v>
      </c>
      <c r="E296" s="20">
        <f>SUM(F296:Q296)</f>
        <v>4632.3</v>
      </c>
      <c r="F296" s="21">
        <f t="shared" ref="F296:Q296" si="80">SUM(F297:F299)</f>
        <v>0</v>
      </c>
      <c r="G296" s="21">
        <f t="shared" si="80"/>
        <v>0</v>
      </c>
      <c r="H296" s="21">
        <f t="shared" si="80"/>
        <v>0</v>
      </c>
      <c r="I296" s="21">
        <f t="shared" si="80"/>
        <v>0</v>
      </c>
      <c r="J296" s="21">
        <f t="shared" si="80"/>
        <v>0</v>
      </c>
      <c r="K296" s="21">
        <f t="shared" si="80"/>
        <v>4632.3</v>
      </c>
      <c r="L296" s="21">
        <f t="shared" si="80"/>
        <v>0</v>
      </c>
      <c r="M296" s="21">
        <f t="shared" si="80"/>
        <v>0</v>
      </c>
      <c r="N296" s="21">
        <f t="shared" si="80"/>
        <v>0</v>
      </c>
      <c r="O296" s="21">
        <f t="shared" si="80"/>
        <v>0</v>
      </c>
      <c r="P296" s="21">
        <f t="shared" si="80"/>
        <v>0</v>
      </c>
      <c r="Q296" s="21">
        <f t="shared" si="80"/>
        <v>0</v>
      </c>
      <c r="R296" s="38"/>
      <c r="S296" s="38"/>
      <c r="T296" s="2">
        <v>0</v>
      </c>
      <c r="U296" s="2"/>
    </row>
    <row r="297" spans="1:21" ht="33.4" customHeight="1" x14ac:dyDescent="0.25">
      <c r="A297" s="287"/>
      <c r="B297" s="334"/>
      <c r="C297" s="101"/>
      <c r="D297" s="19" t="s">
        <v>17</v>
      </c>
      <c r="E297" s="20">
        <f>SUM(F297:Q297)</f>
        <v>0</v>
      </c>
      <c r="F297" s="21">
        <v>0</v>
      </c>
      <c r="G297" s="21">
        <v>0</v>
      </c>
      <c r="H297" s="21">
        <v>0</v>
      </c>
      <c r="I297" s="21">
        <v>0</v>
      </c>
      <c r="J297" s="21">
        <v>0</v>
      </c>
      <c r="K297" s="21">
        <v>0</v>
      </c>
      <c r="L297" s="21">
        <v>0</v>
      </c>
      <c r="M297" s="21">
        <v>0</v>
      </c>
      <c r="N297" s="21">
        <v>0</v>
      </c>
      <c r="O297" s="21">
        <v>0</v>
      </c>
      <c r="P297" s="21">
        <v>0</v>
      </c>
      <c r="Q297" s="21">
        <v>0</v>
      </c>
      <c r="R297" s="38"/>
      <c r="S297" s="38"/>
      <c r="T297" s="2"/>
      <c r="U297" s="2"/>
    </row>
    <row r="298" spans="1:21" ht="24.4" customHeight="1" x14ac:dyDescent="0.25">
      <c r="A298" s="287"/>
      <c r="B298" s="334"/>
      <c r="C298" s="102"/>
      <c r="D298" s="19" t="s">
        <v>18</v>
      </c>
      <c r="E298" s="20">
        <f>SUM(F298:Q298)</f>
        <v>4400.7</v>
      </c>
      <c r="F298" s="21">
        <v>0</v>
      </c>
      <c r="G298" s="21">
        <v>0</v>
      </c>
      <c r="H298" s="21">
        <v>0</v>
      </c>
      <c r="I298" s="21">
        <v>0</v>
      </c>
      <c r="J298" s="21">
        <v>0</v>
      </c>
      <c r="K298" s="21">
        <v>4400.7</v>
      </c>
      <c r="L298" s="21">
        <v>0</v>
      </c>
      <c r="M298" s="21">
        <v>0</v>
      </c>
      <c r="N298" s="21">
        <v>0</v>
      </c>
      <c r="O298" s="21">
        <v>0</v>
      </c>
      <c r="P298" s="21">
        <v>0</v>
      </c>
      <c r="Q298" s="21">
        <v>0</v>
      </c>
      <c r="R298" s="38"/>
      <c r="S298" s="38"/>
      <c r="T298" s="2"/>
      <c r="U298" s="2"/>
    </row>
    <row r="299" spans="1:21" ht="28.15" customHeight="1" x14ac:dyDescent="0.25">
      <c r="A299" s="287"/>
      <c r="B299" s="334"/>
      <c r="C299" s="101"/>
      <c r="D299" s="25" t="s">
        <v>19</v>
      </c>
      <c r="E299" s="20">
        <f>SUM(F299:Q299)</f>
        <v>231.6</v>
      </c>
      <c r="F299" s="21"/>
      <c r="G299" s="21">
        <v>0</v>
      </c>
      <c r="H299" s="21"/>
      <c r="I299" s="21">
        <v>0</v>
      </c>
      <c r="J299" s="21">
        <v>0</v>
      </c>
      <c r="K299" s="21">
        <v>231.6</v>
      </c>
      <c r="L299" s="21">
        <v>0</v>
      </c>
      <c r="M299" s="21">
        <v>0</v>
      </c>
      <c r="N299" s="21">
        <v>0</v>
      </c>
      <c r="O299" s="21">
        <v>0</v>
      </c>
      <c r="P299" s="21">
        <v>0</v>
      </c>
      <c r="Q299" s="21">
        <v>0</v>
      </c>
      <c r="R299" s="38"/>
      <c r="S299" s="38"/>
      <c r="T299" s="2"/>
      <c r="U299" s="2"/>
    </row>
    <row r="300" spans="1:21" ht="30.8" customHeight="1" x14ac:dyDescent="0.25">
      <c r="A300" s="316"/>
      <c r="B300" s="338"/>
      <c r="C300" s="102"/>
      <c r="D300" s="19" t="s">
        <v>21</v>
      </c>
      <c r="E300" s="20">
        <f>SUM(F300:Q300)</f>
        <v>0</v>
      </c>
      <c r="F300" s="21"/>
      <c r="G300" s="21">
        <v>0</v>
      </c>
      <c r="H300" s="21">
        <v>0</v>
      </c>
      <c r="I300" s="21">
        <v>0</v>
      </c>
      <c r="J300" s="21">
        <v>0</v>
      </c>
      <c r="K300" s="21">
        <v>0</v>
      </c>
      <c r="L300" s="21">
        <v>0</v>
      </c>
      <c r="M300" s="21">
        <v>0</v>
      </c>
      <c r="N300" s="21">
        <v>0</v>
      </c>
      <c r="O300" s="21">
        <v>0</v>
      </c>
      <c r="P300" s="21">
        <v>0</v>
      </c>
      <c r="Q300" s="21">
        <v>0</v>
      </c>
      <c r="R300" s="38"/>
      <c r="S300" s="38"/>
      <c r="T300" s="2"/>
      <c r="U300" s="2"/>
    </row>
    <row r="301" spans="1:21" ht="20.149999999999999" customHeight="1" x14ac:dyDescent="0.25">
      <c r="A301" s="281" t="s">
        <v>142</v>
      </c>
      <c r="B301" s="293" t="s">
        <v>143</v>
      </c>
      <c r="C301" s="49"/>
      <c r="D301" s="16" t="s">
        <v>29</v>
      </c>
      <c r="E301" s="18">
        <f>E306</f>
        <v>3000</v>
      </c>
      <c r="F301" s="18"/>
      <c r="G301" s="18">
        <f t="shared" ref="G301:Q305" si="81">G306</f>
        <v>0</v>
      </c>
      <c r="H301" s="18">
        <f t="shared" si="81"/>
        <v>0</v>
      </c>
      <c r="I301" s="18">
        <f t="shared" si="81"/>
        <v>0</v>
      </c>
      <c r="J301" s="18">
        <f t="shared" si="81"/>
        <v>0</v>
      </c>
      <c r="K301" s="18">
        <f t="shared" si="81"/>
        <v>0</v>
      </c>
      <c r="L301" s="18">
        <f t="shared" si="81"/>
        <v>1500</v>
      </c>
      <c r="M301" s="18">
        <f t="shared" si="81"/>
        <v>1500</v>
      </c>
      <c r="N301" s="18">
        <f t="shared" si="81"/>
        <v>0</v>
      </c>
      <c r="O301" s="18">
        <f t="shared" si="81"/>
        <v>0</v>
      </c>
      <c r="P301" s="18">
        <f t="shared" si="81"/>
        <v>0</v>
      </c>
      <c r="Q301" s="18">
        <f t="shared" si="81"/>
        <v>0</v>
      </c>
      <c r="R301" s="86"/>
      <c r="S301" s="86"/>
      <c r="T301" s="2">
        <v>1500</v>
      </c>
      <c r="U301" s="2"/>
    </row>
    <row r="302" spans="1:21" ht="33.4" customHeight="1" x14ac:dyDescent="0.25">
      <c r="A302" s="282"/>
      <c r="B302" s="289"/>
      <c r="C302" s="104"/>
      <c r="D302" s="19" t="s">
        <v>17</v>
      </c>
      <c r="E302" s="21">
        <f>E307</f>
        <v>0</v>
      </c>
      <c r="F302" s="21"/>
      <c r="G302" s="21">
        <f t="shared" si="81"/>
        <v>0</v>
      </c>
      <c r="H302" s="21">
        <f t="shared" si="81"/>
        <v>0</v>
      </c>
      <c r="I302" s="21">
        <f t="shared" si="81"/>
        <v>0</v>
      </c>
      <c r="J302" s="21">
        <f t="shared" si="81"/>
        <v>0</v>
      </c>
      <c r="K302" s="21">
        <f t="shared" si="81"/>
        <v>0</v>
      </c>
      <c r="L302" s="21">
        <f t="shared" si="81"/>
        <v>0</v>
      </c>
      <c r="M302" s="21">
        <f t="shared" si="81"/>
        <v>0</v>
      </c>
      <c r="N302" s="21">
        <f t="shared" si="81"/>
        <v>0</v>
      </c>
      <c r="O302" s="21">
        <f t="shared" si="81"/>
        <v>0</v>
      </c>
      <c r="P302" s="21">
        <f t="shared" si="81"/>
        <v>0</v>
      </c>
      <c r="Q302" s="21">
        <f t="shared" si="81"/>
        <v>0</v>
      </c>
      <c r="R302" s="38"/>
      <c r="S302" s="38"/>
      <c r="T302" s="2"/>
      <c r="U302" s="2"/>
    </row>
    <row r="303" spans="1:21" ht="33.4" customHeight="1" x14ac:dyDescent="0.25">
      <c r="A303" s="282"/>
      <c r="B303" s="289"/>
      <c r="C303" s="103"/>
      <c r="D303" s="25" t="s">
        <v>18</v>
      </c>
      <c r="E303" s="27">
        <f>E308</f>
        <v>0</v>
      </c>
      <c r="F303" s="27"/>
      <c r="G303" s="27">
        <f t="shared" si="81"/>
        <v>0</v>
      </c>
      <c r="H303" s="27">
        <f t="shared" si="81"/>
        <v>0</v>
      </c>
      <c r="I303" s="27">
        <f t="shared" si="81"/>
        <v>0</v>
      </c>
      <c r="J303" s="27">
        <f t="shared" si="81"/>
        <v>0</v>
      </c>
      <c r="K303" s="27">
        <f t="shared" si="81"/>
        <v>0</v>
      </c>
      <c r="L303" s="27">
        <f t="shared" si="81"/>
        <v>0</v>
      </c>
      <c r="M303" s="27">
        <f t="shared" si="81"/>
        <v>0</v>
      </c>
      <c r="N303" s="27">
        <f t="shared" si="81"/>
        <v>0</v>
      </c>
      <c r="O303" s="27">
        <f t="shared" si="81"/>
        <v>0</v>
      </c>
      <c r="P303" s="27">
        <f t="shared" si="81"/>
        <v>0</v>
      </c>
      <c r="Q303" s="27">
        <f t="shared" si="81"/>
        <v>0</v>
      </c>
      <c r="R303" s="38"/>
      <c r="S303" s="38"/>
      <c r="T303" s="2"/>
      <c r="U303" s="2"/>
    </row>
    <row r="304" spans="1:21" ht="41.25" customHeight="1" x14ac:dyDescent="0.25">
      <c r="A304" s="85"/>
      <c r="B304" s="123"/>
      <c r="C304" s="104"/>
      <c r="D304" s="19" t="s">
        <v>19</v>
      </c>
      <c r="E304" s="21">
        <f>E309</f>
        <v>3000</v>
      </c>
      <c r="F304" s="21"/>
      <c r="G304" s="21">
        <f t="shared" si="81"/>
        <v>0</v>
      </c>
      <c r="H304" s="21">
        <f t="shared" si="81"/>
        <v>0</v>
      </c>
      <c r="I304" s="21">
        <f t="shared" si="81"/>
        <v>0</v>
      </c>
      <c r="J304" s="21">
        <f t="shared" si="81"/>
        <v>0</v>
      </c>
      <c r="K304" s="21">
        <f t="shared" si="81"/>
        <v>0</v>
      </c>
      <c r="L304" s="21">
        <f t="shared" si="81"/>
        <v>1500</v>
      </c>
      <c r="M304" s="21">
        <f t="shared" si="81"/>
        <v>1500</v>
      </c>
      <c r="N304" s="21">
        <f t="shared" si="81"/>
        <v>0</v>
      </c>
      <c r="O304" s="21">
        <f t="shared" si="81"/>
        <v>0</v>
      </c>
      <c r="P304" s="21">
        <f t="shared" si="81"/>
        <v>0</v>
      </c>
      <c r="Q304" s="21">
        <f t="shared" si="81"/>
        <v>0</v>
      </c>
      <c r="R304" s="38"/>
      <c r="S304" s="38"/>
      <c r="T304" s="2">
        <v>1500</v>
      </c>
      <c r="U304" s="2"/>
    </row>
    <row r="305" spans="1:52" ht="36" customHeight="1" x14ac:dyDescent="0.25">
      <c r="A305" s="52"/>
      <c r="B305" s="124"/>
      <c r="C305" s="104"/>
      <c r="D305" s="25" t="s">
        <v>21</v>
      </c>
      <c r="E305" s="21">
        <f>E310</f>
        <v>0</v>
      </c>
      <c r="F305" s="21"/>
      <c r="G305" s="21">
        <f t="shared" si="81"/>
        <v>0</v>
      </c>
      <c r="H305" s="21">
        <f t="shared" si="81"/>
        <v>0</v>
      </c>
      <c r="I305" s="21">
        <f t="shared" si="81"/>
        <v>0</v>
      </c>
      <c r="J305" s="21">
        <f t="shared" si="81"/>
        <v>0</v>
      </c>
      <c r="K305" s="21">
        <f t="shared" si="81"/>
        <v>0</v>
      </c>
      <c r="L305" s="21">
        <f t="shared" si="81"/>
        <v>0</v>
      </c>
      <c r="M305" s="21">
        <f t="shared" si="81"/>
        <v>0</v>
      </c>
      <c r="N305" s="21">
        <f t="shared" si="81"/>
        <v>0</v>
      </c>
      <c r="O305" s="21">
        <f t="shared" si="81"/>
        <v>0</v>
      </c>
      <c r="P305" s="21">
        <f t="shared" si="81"/>
        <v>0</v>
      </c>
      <c r="Q305" s="21">
        <f t="shared" si="81"/>
        <v>0</v>
      </c>
      <c r="R305" s="38"/>
      <c r="S305" s="38"/>
      <c r="T305" s="2"/>
      <c r="U305" s="2"/>
    </row>
    <row r="306" spans="1:52" ht="22.95" customHeight="1" x14ac:dyDescent="0.25">
      <c r="A306" s="286" t="s">
        <v>144</v>
      </c>
      <c r="B306" s="242" t="s">
        <v>145</v>
      </c>
      <c r="C306" s="49"/>
      <c r="D306" s="19" t="s">
        <v>29</v>
      </c>
      <c r="E306" s="20">
        <f t="shared" ref="E306:E318" si="82">SUM(F306:Q306)</f>
        <v>3000</v>
      </c>
      <c r="F306" s="21">
        <f t="shared" ref="F306:Q306" si="83">SUM(F307:F309)</f>
        <v>0</v>
      </c>
      <c r="G306" s="21">
        <f t="shared" si="83"/>
        <v>0</v>
      </c>
      <c r="H306" s="21">
        <f t="shared" si="83"/>
        <v>0</v>
      </c>
      <c r="I306" s="21">
        <f t="shared" si="83"/>
        <v>0</v>
      </c>
      <c r="J306" s="21">
        <f t="shared" si="83"/>
        <v>0</v>
      </c>
      <c r="K306" s="21">
        <f t="shared" si="83"/>
        <v>0</v>
      </c>
      <c r="L306" s="21">
        <f t="shared" si="83"/>
        <v>1500</v>
      </c>
      <c r="M306" s="21">
        <f t="shared" si="83"/>
        <v>1500</v>
      </c>
      <c r="N306" s="21">
        <f t="shared" si="83"/>
        <v>0</v>
      </c>
      <c r="O306" s="21">
        <f t="shared" si="83"/>
        <v>0</v>
      </c>
      <c r="P306" s="21">
        <f t="shared" si="83"/>
        <v>0</v>
      </c>
      <c r="Q306" s="21">
        <f t="shared" si="83"/>
        <v>0</v>
      </c>
      <c r="R306" s="38"/>
      <c r="S306" s="38"/>
      <c r="T306" s="2">
        <v>1500</v>
      </c>
      <c r="U306" s="2"/>
    </row>
    <row r="307" spans="1:52" ht="38.799999999999997" customHeight="1" x14ac:dyDescent="0.25">
      <c r="A307" s="287"/>
      <c r="B307" s="335"/>
      <c r="C307" s="104"/>
      <c r="D307" s="19" t="s">
        <v>17</v>
      </c>
      <c r="E307" s="20">
        <f t="shared" si="82"/>
        <v>0</v>
      </c>
      <c r="F307" s="21">
        <v>0</v>
      </c>
      <c r="G307" s="21">
        <v>0</v>
      </c>
      <c r="H307" s="21">
        <v>0</v>
      </c>
      <c r="I307" s="21">
        <v>0</v>
      </c>
      <c r="J307" s="21">
        <v>0</v>
      </c>
      <c r="K307" s="21">
        <v>0</v>
      </c>
      <c r="L307" s="21">
        <v>0</v>
      </c>
      <c r="M307" s="21">
        <v>0</v>
      </c>
      <c r="N307" s="21">
        <v>0</v>
      </c>
      <c r="O307" s="21">
        <v>0</v>
      </c>
      <c r="P307" s="21">
        <v>0</v>
      </c>
      <c r="Q307" s="21">
        <v>0</v>
      </c>
      <c r="R307" s="38"/>
      <c r="S307" s="38"/>
      <c r="T307" s="2"/>
      <c r="U307" s="2"/>
    </row>
    <row r="308" spans="1:52" ht="36" customHeight="1" x14ac:dyDescent="0.25">
      <c r="A308" s="201"/>
      <c r="B308" s="335"/>
      <c r="C308" s="104"/>
      <c r="D308" s="25" t="s">
        <v>18</v>
      </c>
      <c r="E308" s="20">
        <f t="shared" si="82"/>
        <v>0</v>
      </c>
      <c r="F308" s="21">
        <v>0</v>
      </c>
      <c r="G308" s="21">
        <v>0</v>
      </c>
      <c r="H308" s="21">
        <v>0</v>
      </c>
      <c r="I308" s="21">
        <v>0</v>
      </c>
      <c r="J308" s="21">
        <v>0</v>
      </c>
      <c r="K308" s="21">
        <v>0</v>
      </c>
      <c r="L308" s="21">
        <v>0</v>
      </c>
      <c r="M308" s="21">
        <v>0</v>
      </c>
      <c r="N308" s="21">
        <v>0</v>
      </c>
      <c r="O308" s="21">
        <v>0</v>
      </c>
      <c r="P308" s="21">
        <v>0</v>
      </c>
      <c r="Q308" s="21">
        <v>0</v>
      </c>
      <c r="R308" s="38"/>
      <c r="S308" s="38"/>
      <c r="T308" s="2"/>
      <c r="U308" s="2"/>
    </row>
    <row r="309" spans="1:52" ht="33.4" customHeight="1" x14ac:dyDescent="0.25">
      <c r="A309" s="201"/>
      <c r="B309" s="200"/>
      <c r="C309" s="103"/>
      <c r="D309" s="25" t="s">
        <v>19</v>
      </c>
      <c r="E309" s="20">
        <f t="shared" si="82"/>
        <v>3000</v>
      </c>
      <c r="F309" s="21"/>
      <c r="G309" s="21">
        <v>0</v>
      </c>
      <c r="H309" s="21"/>
      <c r="I309" s="21">
        <v>0</v>
      </c>
      <c r="J309" s="21">
        <v>0</v>
      </c>
      <c r="K309" s="21">
        <v>0</v>
      </c>
      <c r="L309" s="21">
        <v>1500</v>
      </c>
      <c r="M309" s="21">
        <f>1050-1050+1500</f>
        <v>1500</v>
      </c>
      <c r="N309" s="21">
        <v>0</v>
      </c>
      <c r="O309" s="21">
        <f>1000-1000</f>
        <v>0</v>
      </c>
      <c r="P309" s="21">
        <v>0</v>
      </c>
      <c r="Q309" s="21">
        <v>0</v>
      </c>
      <c r="R309" s="38"/>
      <c r="S309" s="38"/>
      <c r="T309" s="2">
        <v>1500</v>
      </c>
      <c r="U309" s="2"/>
    </row>
    <row r="310" spans="1:52" ht="31.95" customHeight="1" x14ac:dyDescent="0.25">
      <c r="A310" s="110"/>
      <c r="B310" s="129"/>
      <c r="C310" s="104"/>
      <c r="D310" s="19" t="s">
        <v>21</v>
      </c>
      <c r="E310" s="20">
        <f t="shared" si="82"/>
        <v>0</v>
      </c>
      <c r="F310" s="21"/>
      <c r="G310" s="21">
        <v>0</v>
      </c>
      <c r="H310" s="21">
        <v>0</v>
      </c>
      <c r="I310" s="21">
        <v>0</v>
      </c>
      <c r="J310" s="21">
        <v>0</v>
      </c>
      <c r="K310" s="21">
        <v>0</v>
      </c>
      <c r="L310" s="21">
        <v>0</v>
      </c>
      <c r="M310" s="21">
        <v>0</v>
      </c>
      <c r="N310" s="21">
        <v>0</v>
      </c>
      <c r="O310" s="21">
        <v>0</v>
      </c>
      <c r="P310" s="21">
        <v>0</v>
      </c>
      <c r="Q310" s="21">
        <v>0</v>
      </c>
      <c r="R310" s="38"/>
      <c r="S310" s="38"/>
      <c r="T310" s="2"/>
      <c r="U310" s="2"/>
    </row>
    <row r="311" spans="1:52" ht="29.95" customHeight="1" x14ac:dyDescent="0.25">
      <c r="A311" s="146" t="s">
        <v>153</v>
      </c>
      <c r="B311" s="143" t="s">
        <v>179</v>
      </c>
      <c r="C311" s="53"/>
      <c r="D311" s="16" t="s">
        <v>29</v>
      </c>
      <c r="E311" s="17">
        <f t="shared" si="82"/>
        <v>3862018.1</v>
      </c>
      <c r="F311" s="18"/>
      <c r="G311" s="18">
        <f t="shared" ref="G311:N313" si="84">G318</f>
        <v>0</v>
      </c>
      <c r="H311" s="18">
        <f t="shared" si="84"/>
        <v>0</v>
      </c>
      <c r="I311" s="18">
        <f t="shared" si="84"/>
        <v>0</v>
      </c>
      <c r="J311" s="18">
        <f t="shared" si="84"/>
        <v>0</v>
      </c>
      <c r="K311" s="18">
        <f t="shared" si="84"/>
        <v>0</v>
      </c>
      <c r="L311" s="18">
        <f>L318</f>
        <v>526916.80000000005</v>
      </c>
      <c r="M311" s="18">
        <f>M318+M325</f>
        <v>935730.7</v>
      </c>
      <c r="N311" s="18">
        <f>N318+N325</f>
        <v>974193.19999999984</v>
      </c>
      <c r="O311" s="18">
        <f>O312+O313+O314+O315+O316+O317</f>
        <v>213905.6</v>
      </c>
      <c r="P311" s="18">
        <f>P312+P313+P314+P315+P316+P317</f>
        <v>709102.20000000007</v>
      </c>
      <c r="Q311" s="18">
        <f>Q312+Q313+Q314+Q315+Q316+Q317</f>
        <v>502169.59999999998</v>
      </c>
      <c r="R311" s="86"/>
      <c r="S311" s="86"/>
      <c r="T311" s="2"/>
      <c r="U311" s="2"/>
      <c r="AZ311" s="2"/>
    </row>
    <row r="312" spans="1:52" ht="32.1" customHeight="1" x14ac:dyDescent="0.25">
      <c r="A312" s="145"/>
      <c r="B312" s="144"/>
      <c r="C312" s="102"/>
      <c r="D312" s="19" t="s">
        <v>17</v>
      </c>
      <c r="E312" s="20">
        <f t="shared" si="82"/>
        <v>1671048.2000000002</v>
      </c>
      <c r="F312" s="21"/>
      <c r="G312" s="21">
        <f t="shared" si="84"/>
        <v>0</v>
      </c>
      <c r="H312" s="21">
        <f t="shared" si="84"/>
        <v>0</v>
      </c>
      <c r="I312" s="21">
        <f t="shared" si="84"/>
        <v>0</v>
      </c>
      <c r="J312" s="21">
        <f t="shared" si="84"/>
        <v>0</v>
      </c>
      <c r="K312" s="21">
        <f t="shared" si="84"/>
        <v>0</v>
      </c>
      <c r="L312" s="21">
        <f t="shared" si="84"/>
        <v>0</v>
      </c>
      <c r="M312" s="21">
        <f t="shared" si="84"/>
        <v>0</v>
      </c>
      <c r="N312" s="21">
        <f>N319</f>
        <v>712615.89999999991</v>
      </c>
      <c r="O312" s="21">
        <f>O331</f>
        <v>105073.3</v>
      </c>
      <c r="P312" s="21">
        <f>P331</f>
        <v>680950.9</v>
      </c>
      <c r="Q312" s="21">
        <f>Q331</f>
        <v>172408.1</v>
      </c>
      <c r="R312" s="38"/>
      <c r="S312" s="38"/>
      <c r="T312" s="2"/>
      <c r="U312" s="2"/>
    </row>
    <row r="313" spans="1:52" ht="32.9" customHeight="1" x14ac:dyDescent="0.25">
      <c r="A313" s="145"/>
      <c r="B313" s="154"/>
      <c r="C313" s="101"/>
      <c r="D313" s="25" t="s">
        <v>18</v>
      </c>
      <c r="E313" s="20">
        <f t="shared" si="82"/>
        <v>2072936.4</v>
      </c>
      <c r="F313" s="27"/>
      <c r="G313" s="27">
        <f t="shared" si="84"/>
        <v>0</v>
      </c>
      <c r="H313" s="27">
        <f t="shared" si="84"/>
        <v>0</v>
      </c>
      <c r="I313" s="27">
        <f t="shared" si="84"/>
        <v>0</v>
      </c>
      <c r="J313" s="27">
        <f t="shared" si="84"/>
        <v>0</v>
      </c>
      <c r="K313" s="27">
        <f t="shared" si="84"/>
        <v>0</v>
      </c>
      <c r="L313" s="27">
        <f t="shared" si="84"/>
        <v>495301.8</v>
      </c>
      <c r="M313" s="27">
        <f>M320</f>
        <v>910183.2</v>
      </c>
      <c r="N313" s="27">
        <f t="shared" si="84"/>
        <v>251717.4</v>
      </c>
      <c r="O313" s="27">
        <f>O332+O320</f>
        <v>106693.2</v>
      </c>
      <c r="P313" s="27">
        <f>P332</f>
        <v>21060.3</v>
      </c>
      <c r="Q313" s="27">
        <f>Q332</f>
        <v>287980.5</v>
      </c>
      <c r="R313" s="38"/>
      <c r="S313" s="38"/>
      <c r="T313" s="2"/>
      <c r="U313" s="2"/>
    </row>
    <row r="314" spans="1:52" ht="54" customHeight="1" x14ac:dyDescent="0.25">
      <c r="A314" s="207"/>
      <c r="B314" s="224"/>
      <c r="C314" s="210"/>
      <c r="D314" s="19" t="s">
        <v>184</v>
      </c>
      <c r="E314" s="20">
        <f t="shared" si="82"/>
        <v>302329.59999999998</v>
      </c>
      <c r="F314" s="27"/>
      <c r="G314" s="27">
        <v>0</v>
      </c>
      <c r="H314" s="27">
        <v>0</v>
      </c>
      <c r="I314" s="27">
        <v>0</v>
      </c>
      <c r="J314" s="27">
        <v>0</v>
      </c>
      <c r="K314" s="27">
        <v>0</v>
      </c>
      <c r="L314" s="27">
        <v>0</v>
      </c>
      <c r="M314" s="27">
        <f>M321</f>
        <v>302329.59999999998</v>
      </c>
      <c r="N314" s="27">
        <v>0</v>
      </c>
      <c r="O314" s="27">
        <v>0</v>
      </c>
      <c r="P314" s="27">
        <v>0</v>
      </c>
      <c r="Q314" s="27">
        <v>0</v>
      </c>
      <c r="R314" s="38"/>
      <c r="S314" s="38"/>
      <c r="T314" s="2"/>
      <c r="U314" s="2"/>
    </row>
    <row r="315" spans="1:52" ht="33.4" customHeight="1" x14ac:dyDescent="0.25">
      <c r="A315" s="223"/>
      <c r="B315" s="225"/>
      <c r="C315" s="211"/>
      <c r="D315" s="19" t="s">
        <v>19</v>
      </c>
      <c r="E315" s="20">
        <f t="shared" si="82"/>
        <v>118033.50000000001</v>
      </c>
      <c r="F315" s="21"/>
      <c r="G315" s="21">
        <f t="shared" ref="G315:L315" si="85">G322</f>
        <v>0</v>
      </c>
      <c r="H315" s="21">
        <f t="shared" si="85"/>
        <v>0</v>
      </c>
      <c r="I315" s="21">
        <f t="shared" si="85"/>
        <v>0</v>
      </c>
      <c r="J315" s="21">
        <f t="shared" si="85"/>
        <v>0</v>
      </c>
      <c r="K315" s="21">
        <f t="shared" si="85"/>
        <v>0</v>
      </c>
      <c r="L315" s="21">
        <f t="shared" si="85"/>
        <v>31615</v>
      </c>
      <c r="M315" s="21">
        <f>M322+M328</f>
        <v>25547.5</v>
      </c>
      <c r="N315" s="21">
        <f>N322+N328</f>
        <v>9859.9000000000033</v>
      </c>
      <c r="O315" s="21">
        <f>O322+O328+O333</f>
        <v>2139.1000000000004</v>
      </c>
      <c r="P315" s="21">
        <f>P322+P328+P333</f>
        <v>7091</v>
      </c>
      <c r="Q315" s="21">
        <f>Q322+Q328+Q333</f>
        <v>41781</v>
      </c>
      <c r="R315" s="38"/>
      <c r="S315" s="38"/>
      <c r="T315" s="2"/>
      <c r="U315" s="2"/>
    </row>
    <row r="316" spans="1:52" ht="51.75" customHeight="1" x14ac:dyDescent="0.25">
      <c r="A316" s="145"/>
      <c r="B316" s="154"/>
      <c r="C316" s="101"/>
      <c r="D316" s="25" t="s">
        <v>184</v>
      </c>
      <c r="E316" s="26">
        <f t="shared" si="82"/>
        <v>19297.599999999999</v>
      </c>
      <c r="F316" s="27"/>
      <c r="G316" s="27">
        <v>0</v>
      </c>
      <c r="H316" s="27">
        <v>0</v>
      </c>
      <c r="I316" s="27">
        <v>0</v>
      </c>
      <c r="J316" s="27">
        <v>0</v>
      </c>
      <c r="K316" s="27">
        <v>0</v>
      </c>
      <c r="L316" s="27">
        <v>0</v>
      </c>
      <c r="M316" s="27">
        <f>M323</f>
        <v>19297.599999999999</v>
      </c>
      <c r="N316" s="27">
        <v>0</v>
      </c>
      <c r="O316" s="27">
        <v>0</v>
      </c>
      <c r="P316" s="27">
        <v>0</v>
      </c>
      <c r="Q316" s="27">
        <v>0</v>
      </c>
      <c r="R316" s="38"/>
      <c r="S316" s="38"/>
      <c r="T316" s="2"/>
      <c r="U316" s="2"/>
    </row>
    <row r="317" spans="1:52" ht="34.85" customHeight="1" x14ac:dyDescent="0.25">
      <c r="A317" s="157"/>
      <c r="B317" s="158"/>
      <c r="C317" s="102"/>
      <c r="D317" s="19" t="s">
        <v>21</v>
      </c>
      <c r="E317" s="20">
        <f t="shared" si="82"/>
        <v>0</v>
      </c>
      <c r="F317" s="21"/>
      <c r="G317" s="21">
        <f t="shared" ref="G317:Q317" si="86">G324</f>
        <v>0</v>
      </c>
      <c r="H317" s="21">
        <f t="shared" si="86"/>
        <v>0</v>
      </c>
      <c r="I317" s="21">
        <f t="shared" si="86"/>
        <v>0</v>
      </c>
      <c r="J317" s="21">
        <f t="shared" si="86"/>
        <v>0</v>
      </c>
      <c r="K317" s="21">
        <f t="shared" si="86"/>
        <v>0</v>
      </c>
      <c r="L317" s="21">
        <f t="shared" si="86"/>
        <v>0</v>
      </c>
      <c r="M317" s="21">
        <f t="shared" si="86"/>
        <v>0</v>
      </c>
      <c r="N317" s="21">
        <f t="shared" si="86"/>
        <v>0</v>
      </c>
      <c r="O317" s="21">
        <f t="shared" si="86"/>
        <v>0</v>
      </c>
      <c r="P317" s="21">
        <f t="shared" si="86"/>
        <v>0</v>
      </c>
      <c r="Q317" s="21">
        <f t="shared" si="86"/>
        <v>0</v>
      </c>
      <c r="R317" s="38"/>
      <c r="S317" s="38"/>
      <c r="T317" s="2"/>
      <c r="U317" s="2"/>
    </row>
    <row r="318" spans="1:52" ht="30.45" customHeight="1" x14ac:dyDescent="0.25">
      <c r="A318" s="319" t="s">
        <v>154</v>
      </c>
      <c r="B318" s="242" t="str">
        <f>[1]финансирование!$B$265</f>
        <v>Создание новых мест в общеобразовательных организациях</v>
      </c>
      <c r="C318" s="49"/>
      <c r="D318" s="19" t="s">
        <v>29</v>
      </c>
      <c r="E318" s="20">
        <f t="shared" si="82"/>
        <v>2541099.9</v>
      </c>
      <c r="F318" s="21">
        <f t="shared" ref="F318:Q318" si="87">SUM(F319:F322)</f>
        <v>0</v>
      </c>
      <c r="G318" s="21">
        <f t="shared" si="87"/>
        <v>0</v>
      </c>
      <c r="H318" s="21">
        <f t="shared" si="87"/>
        <v>0</v>
      </c>
      <c r="I318" s="21">
        <f t="shared" si="87"/>
        <v>0</v>
      </c>
      <c r="J318" s="21">
        <f t="shared" si="87"/>
        <v>0</v>
      </c>
      <c r="K318" s="21">
        <f t="shared" si="87"/>
        <v>0</v>
      </c>
      <c r="L318" s="21">
        <f t="shared" si="87"/>
        <v>526916.80000000005</v>
      </c>
      <c r="M318" s="21">
        <f>M320+M319+M322</f>
        <v>935620.7</v>
      </c>
      <c r="N318" s="21">
        <f t="shared" si="87"/>
        <v>974073.99999999988</v>
      </c>
      <c r="O318" s="21">
        <f t="shared" si="87"/>
        <v>104488.4</v>
      </c>
      <c r="P318" s="21">
        <f t="shared" si="87"/>
        <v>0</v>
      </c>
      <c r="Q318" s="21">
        <f t="shared" si="87"/>
        <v>0</v>
      </c>
      <c r="R318" s="38"/>
      <c r="S318" s="38"/>
      <c r="T318" s="2">
        <v>935620.7</v>
      </c>
      <c r="U318" s="2">
        <v>636456.69999999995</v>
      </c>
    </row>
    <row r="319" spans="1:52" ht="40.75" customHeight="1" x14ac:dyDescent="0.25">
      <c r="A319" s="323"/>
      <c r="B319" s="284"/>
      <c r="C319" s="104"/>
      <c r="D319" s="19" t="s">
        <v>17</v>
      </c>
      <c r="E319" s="20">
        <f t="shared" ref="E319:E324" si="88">SUM(F319:Q319)</f>
        <v>712615.89999999991</v>
      </c>
      <c r="F319" s="21">
        <v>0</v>
      </c>
      <c r="G319" s="21">
        <v>0</v>
      </c>
      <c r="H319" s="21">
        <v>0</v>
      </c>
      <c r="I319" s="21">
        <v>0</v>
      </c>
      <c r="J319" s="21">
        <v>0</v>
      </c>
      <c r="K319" s="21">
        <v>0</v>
      </c>
      <c r="L319" s="21">
        <v>0</v>
      </c>
      <c r="M319" s="21">
        <v>0</v>
      </c>
      <c r="N319" s="21">
        <f>438538.1+274077.8</f>
        <v>712615.89999999991</v>
      </c>
      <c r="O319" s="21">
        <v>0</v>
      </c>
      <c r="P319" s="21">
        <v>0</v>
      </c>
      <c r="Q319" s="21">
        <v>0</v>
      </c>
      <c r="R319" s="38"/>
      <c r="S319" s="38"/>
      <c r="T319" s="2"/>
      <c r="U319" s="2"/>
    </row>
    <row r="320" spans="1:52" ht="36.65" customHeight="1" x14ac:dyDescent="0.25">
      <c r="A320" s="71"/>
      <c r="B320" s="158"/>
      <c r="C320" s="104"/>
      <c r="D320" s="25" t="s">
        <v>18</v>
      </c>
      <c r="E320" s="26">
        <f t="shared" si="88"/>
        <v>1760645.9</v>
      </c>
      <c r="F320" s="27">
        <v>0</v>
      </c>
      <c r="G320" s="27">
        <v>0</v>
      </c>
      <c r="H320" s="27">
        <v>0</v>
      </c>
      <c r="I320" s="27">
        <v>0</v>
      </c>
      <c r="J320" s="27">
        <v>0</v>
      </c>
      <c r="K320" s="27">
        <v>0</v>
      </c>
      <c r="L320" s="27">
        <v>495301.8</v>
      </c>
      <c r="M320" s="27">
        <f>490580.8+86573.1+30699.7+302329.6</f>
        <v>910183.2</v>
      </c>
      <c r="N320" s="27">
        <f>630092.1-438538.1+60163.4</f>
        <v>251717.4</v>
      </c>
      <c r="O320" s="27">
        <f>93083+10360.5</f>
        <v>103443.5</v>
      </c>
      <c r="P320" s="27">
        <v>0</v>
      </c>
      <c r="Q320" s="27">
        <v>0</v>
      </c>
      <c r="R320" s="38"/>
      <c r="S320" s="38"/>
      <c r="T320" s="2"/>
      <c r="U320" s="2"/>
    </row>
    <row r="321" spans="1:21" ht="72.650000000000006" customHeight="1" x14ac:dyDescent="0.25">
      <c r="A321" s="71"/>
      <c r="B321" s="158"/>
      <c r="C321" s="103"/>
      <c r="D321" s="25" t="s">
        <v>184</v>
      </c>
      <c r="E321" s="20">
        <f>SUM(F321:Q321)</f>
        <v>302329.59999999998</v>
      </c>
      <c r="F321" s="21"/>
      <c r="G321" s="21">
        <v>0</v>
      </c>
      <c r="H321" s="21">
        <v>0</v>
      </c>
      <c r="I321" s="21">
        <v>0</v>
      </c>
      <c r="J321" s="21">
        <v>0</v>
      </c>
      <c r="K321" s="21">
        <v>0</v>
      </c>
      <c r="L321" s="21">
        <v>0</v>
      </c>
      <c r="M321" s="21">
        <v>302329.59999999998</v>
      </c>
      <c r="N321" s="21">
        <v>0</v>
      </c>
      <c r="O321" s="21">
        <v>0</v>
      </c>
      <c r="P321" s="21">
        <v>0</v>
      </c>
      <c r="Q321" s="21">
        <v>0</v>
      </c>
      <c r="R321" s="38"/>
      <c r="S321" s="38"/>
      <c r="T321" s="2"/>
      <c r="U321" s="2"/>
    </row>
    <row r="322" spans="1:21" ht="39.450000000000003" customHeight="1" x14ac:dyDescent="0.25">
      <c r="A322" s="71"/>
      <c r="B322" s="158"/>
      <c r="C322" s="103"/>
      <c r="D322" s="25" t="s">
        <v>19</v>
      </c>
      <c r="E322" s="20">
        <f t="shared" si="88"/>
        <v>67838.099999999991</v>
      </c>
      <c r="F322" s="21"/>
      <c r="G322" s="21">
        <v>0</v>
      </c>
      <c r="H322" s="21"/>
      <c r="I322" s="21">
        <v>0</v>
      </c>
      <c r="J322" s="21">
        <v>0</v>
      </c>
      <c r="K322" s="21">
        <v>0</v>
      </c>
      <c r="L322" s="21">
        <v>31615</v>
      </c>
      <c r="M322" s="21">
        <f>36839.6+19273.4-465-5572.4+19297.6-22056-0.1-8206.6-13673</f>
        <v>25437.5</v>
      </c>
      <c r="N322" s="21">
        <f>38187.4-31822.8+3376.2-0.1</f>
        <v>9740.7000000000025</v>
      </c>
      <c r="O322" s="21">
        <f>940.2+104.7</f>
        <v>1044.9000000000001</v>
      </c>
      <c r="P322" s="21">
        <v>0</v>
      </c>
      <c r="Q322" s="21">
        <v>0</v>
      </c>
      <c r="R322" s="38"/>
      <c r="S322" s="38"/>
      <c r="T322" s="2"/>
      <c r="U322" s="2"/>
    </row>
    <row r="323" spans="1:21" ht="53.2" customHeight="1" x14ac:dyDescent="0.25">
      <c r="A323" s="71"/>
      <c r="B323" s="158"/>
      <c r="C323" s="103"/>
      <c r="D323" s="19" t="s">
        <v>184</v>
      </c>
      <c r="E323" s="20">
        <f t="shared" si="88"/>
        <v>19297.599999999999</v>
      </c>
      <c r="F323" s="21"/>
      <c r="G323" s="21">
        <v>0</v>
      </c>
      <c r="H323" s="21">
        <v>0</v>
      </c>
      <c r="I323" s="21">
        <v>0</v>
      </c>
      <c r="J323" s="21">
        <v>0</v>
      </c>
      <c r="K323" s="21">
        <v>0</v>
      </c>
      <c r="L323" s="21">
        <v>0</v>
      </c>
      <c r="M323" s="21">
        <v>19297.599999999999</v>
      </c>
      <c r="N323" s="21">
        <v>0</v>
      </c>
      <c r="O323" s="21">
        <v>0</v>
      </c>
      <c r="P323" s="21">
        <v>0</v>
      </c>
      <c r="Q323" s="21">
        <v>0</v>
      </c>
      <c r="R323" s="38"/>
      <c r="S323" s="38"/>
      <c r="T323" s="2"/>
      <c r="U323" s="2"/>
    </row>
    <row r="324" spans="1:21" ht="40.950000000000003" customHeight="1" x14ac:dyDescent="0.25">
      <c r="A324" s="34"/>
      <c r="B324" s="159"/>
      <c r="C324" s="103"/>
      <c r="D324" s="19" t="s">
        <v>21</v>
      </c>
      <c r="E324" s="20">
        <f t="shared" si="88"/>
        <v>0</v>
      </c>
      <c r="F324" s="21"/>
      <c r="G324" s="21">
        <v>0</v>
      </c>
      <c r="H324" s="21">
        <v>0</v>
      </c>
      <c r="I324" s="21">
        <v>0</v>
      </c>
      <c r="J324" s="21">
        <v>0</v>
      </c>
      <c r="K324" s="21">
        <v>0</v>
      </c>
      <c r="L324" s="21">
        <v>0</v>
      </c>
      <c r="M324" s="21">
        <v>0</v>
      </c>
      <c r="N324" s="21">
        <v>0</v>
      </c>
      <c r="O324" s="21">
        <v>0</v>
      </c>
      <c r="P324" s="21">
        <v>0</v>
      </c>
      <c r="Q324" s="21">
        <v>0</v>
      </c>
      <c r="R324" s="38"/>
      <c r="S324" s="38"/>
      <c r="T324" s="2"/>
      <c r="U324" s="2"/>
    </row>
    <row r="325" spans="1:21" ht="40.950000000000003" customHeight="1" x14ac:dyDescent="0.25">
      <c r="A325" s="343" t="s">
        <v>196</v>
      </c>
      <c r="B325" s="261" t="s">
        <v>204</v>
      </c>
      <c r="C325" s="103"/>
      <c r="D325" s="16" t="s">
        <v>4</v>
      </c>
      <c r="E325" s="20">
        <f>M325+N325</f>
        <v>229.2</v>
      </c>
      <c r="F325" s="21"/>
      <c r="G325" s="21">
        <v>0</v>
      </c>
      <c r="H325" s="21">
        <v>0</v>
      </c>
      <c r="I325" s="21">
        <v>0</v>
      </c>
      <c r="J325" s="21">
        <v>0</v>
      </c>
      <c r="K325" s="21">
        <v>0</v>
      </c>
      <c r="L325" s="21">
        <v>0</v>
      </c>
      <c r="M325" s="21">
        <f>M328</f>
        <v>110</v>
      </c>
      <c r="N325" s="21">
        <f>N328</f>
        <v>119.2</v>
      </c>
      <c r="O325" s="21">
        <v>0</v>
      </c>
      <c r="P325" s="21">
        <v>0</v>
      </c>
      <c r="Q325" s="21">
        <v>0</v>
      </c>
      <c r="R325" s="38"/>
      <c r="S325" s="38"/>
      <c r="T325" s="2"/>
      <c r="U325" s="2"/>
    </row>
    <row r="326" spans="1:21" ht="69.05" customHeight="1" x14ac:dyDescent="0.25">
      <c r="A326" s="323"/>
      <c r="B326" s="261"/>
      <c r="C326" s="103"/>
      <c r="D326" s="19" t="s">
        <v>17</v>
      </c>
      <c r="E326" s="20">
        <f>M326</f>
        <v>0</v>
      </c>
      <c r="F326" s="21"/>
      <c r="G326" s="21">
        <v>0</v>
      </c>
      <c r="H326" s="21">
        <v>0</v>
      </c>
      <c r="I326" s="21">
        <v>0</v>
      </c>
      <c r="J326" s="21">
        <v>0</v>
      </c>
      <c r="K326" s="21">
        <v>0</v>
      </c>
      <c r="L326" s="21">
        <v>0</v>
      </c>
      <c r="M326" s="21">
        <v>0</v>
      </c>
      <c r="N326" s="21">
        <v>0</v>
      </c>
      <c r="O326" s="21">
        <v>0</v>
      </c>
      <c r="P326" s="21">
        <v>0</v>
      </c>
      <c r="Q326" s="21">
        <v>0</v>
      </c>
      <c r="R326" s="38"/>
      <c r="S326" s="38"/>
      <c r="T326" s="2"/>
      <c r="U326" s="2"/>
    </row>
    <row r="327" spans="1:21" ht="40.950000000000003" customHeight="1" x14ac:dyDescent="0.25">
      <c r="A327" s="71"/>
      <c r="B327" s="128"/>
      <c r="C327" s="103"/>
      <c r="D327" s="19" t="s">
        <v>18</v>
      </c>
      <c r="E327" s="20">
        <f>M327</f>
        <v>0</v>
      </c>
      <c r="F327" s="21"/>
      <c r="G327" s="21">
        <v>0</v>
      </c>
      <c r="H327" s="21">
        <v>0</v>
      </c>
      <c r="I327" s="21">
        <v>0</v>
      </c>
      <c r="J327" s="21">
        <v>0</v>
      </c>
      <c r="K327" s="21">
        <v>0</v>
      </c>
      <c r="L327" s="21">
        <v>0</v>
      </c>
      <c r="M327" s="21">
        <v>0</v>
      </c>
      <c r="N327" s="21">
        <v>0</v>
      </c>
      <c r="O327" s="21">
        <v>0</v>
      </c>
      <c r="P327" s="21">
        <v>0</v>
      </c>
      <c r="Q327" s="21">
        <v>0</v>
      </c>
      <c r="R327" s="38"/>
      <c r="S327" s="38"/>
      <c r="T327" s="2"/>
      <c r="U327" s="2"/>
    </row>
    <row r="328" spans="1:21" ht="40.950000000000003" customHeight="1" x14ac:dyDescent="0.25">
      <c r="A328" s="71"/>
      <c r="B328" s="128"/>
      <c r="C328" s="103"/>
      <c r="D328" s="19" t="s">
        <v>19</v>
      </c>
      <c r="E328" s="20">
        <f>M328+N328</f>
        <v>229.2</v>
      </c>
      <c r="F328" s="21"/>
      <c r="G328" s="21">
        <v>0</v>
      </c>
      <c r="H328" s="21">
        <v>0</v>
      </c>
      <c r="I328" s="21">
        <v>0</v>
      </c>
      <c r="J328" s="21">
        <v>0</v>
      </c>
      <c r="K328" s="21">
        <v>0</v>
      </c>
      <c r="L328" s="21">
        <v>0</v>
      </c>
      <c r="M328" s="21">
        <v>110</v>
      </c>
      <c r="N328" s="21">
        <f>119.2-0.1+0.1</f>
        <v>119.2</v>
      </c>
      <c r="O328" s="21">
        <v>0</v>
      </c>
      <c r="P328" s="21">
        <v>0</v>
      </c>
      <c r="Q328" s="21">
        <v>0</v>
      </c>
      <c r="R328" s="38"/>
      <c r="S328" s="38"/>
      <c r="T328" s="2"/>
      <c r="U328" s="2"/>
    </row>
    <row r="329" spans="1:21" ht="40.950000000000003" customHeight="1" x14ac:dyDescent="0.25">
      <c r="A329" s="34"/>
      <c r="B329" s="129"/>
      <c r="C329" s="104"/>
      <c r="D329" s="19" t="s">
        <v>21</v>
      </c>
      <c r="E329" s="20">
        <f>M329</f>
        <v>0</v>
      </c>
      <c r="F329" s="21"/>
      <c r="G329" s="21">
        <v>0</v>
      </c>
      <c r="H329" s="21">
        <v>0</v>
      </c>
      <c r="I329" s="21">
        <v>0</v>
      </c>
      <c r="J329" s="21">
        <v>0</v>
      </c>
      <c r="K329" s="21">
        <v>0</v>
      </c>
      <c r="L329" s="21">
        <v>0</v>
      </c>
      <c r="M329" s="21">
        <v>0</v>
      </c>
      <c r="N329" s="21">
        <v>0</v>
      </c>
      <c r="O329" s="21">
        <v>0</v>
      </c>
      <c r="P329" s="21">
        <v>0</v>
      </c>
      <c r="Q329" s="21">
        <v>0</v>
      </c>
      <c r="R329" s="38"/>
      <c r="S329" s="38"/>
      <c r="T329" s="2"/>
      <c r="U329" s="2"/>
    </row>
    <row r="330" spans="1:21" ht="40.950000000000003" customHeight="1" x14ac:dyDescent="0.25">
      <c r="A330" s="343" t="s">
        <v>228</v>
      </c>
      <c r="B330" s="242" t="s">
        <v>203</v>
      </c>
      <c r="C330" s="190"/>
      <c r="D330" s="41" t="s">
        <v>4</v>
      </c>
      <c r="E330" s="26">
        <f>SUM(F330:Q330)</f>
        <v>1320689</v>
      </c>
      <c r="F330" s="27"/>
      <c r="G330" s="26">
        <f>SUM(G331:G334)</f>
        <v>0</v>
      </c>
      <c r="H330" s="26">
        <f t="shared" ref="H330:Q330" si="89">SUM(H331:H334)</f>
        <v>0</v>
      </c>
      <c r="I330" s="26">
        <f t="shared" si="89"/>
        <v>0</v>
      </c>
      <c r="J330" s="26">
        <f t="shared" si="89"/>
        <v>0</v>
      </c>
      <c r="K330" s="26">
        <f t="shared" si="89"/>
        <v>0</v>
      </c>
      <c r="L330" s="26">
        <f t="shared" si="89"/>
        <v>0</v>
      </c>
      <c r="M330" s="26">
        <f t="shared" si="89"/>
        <v>0</v>
      </c>
      <c r="N330" s="26">
        <f t="shared" si="89"/>
        <v>0</v>
      </c>
      <c r="O330" s="26">
        <f>SUM(O331:O334)</f>
        <v>109417.2</v>
      </c>
      <c r="P330" s="26">
        <f t="shared" si="89"/>
        <v>709102.20000000007</v>
      </c>
      <c r="Q330" s="26">
        <f t="shared" si="89"/>
        <v>502169.59999999998</v>
      </c>
      <c r="R330" s="37"/>
      <c r="S330" s="37"/>
      <c r="T330" s="2"/>
      <c r="U330" s="2"/>
    </row>
    <row r="331" spans="1:21" ht="26.85" customHeight="1" x14ac:dyDescent="0.25">
      <c r="A331" s="323"/>
      <c r="B331" s="335"/>
      <c r="C331" s="190"/>
      <c r="D331" s="19" t="s">
        <v>17</v>
      </c>
      <c r="E331" s="20">
        <f t="shared" ref="E331:E344" si="90">SUM(F331:Q331)</f>
        <v>958432.3</v>
      </c>
      <c r="F331" s="21"/>
      <c r="G331" s="21">
        <v>0</v>
      </c>
      <c r="H331" s="21">
        <v>0</v>
      </c>
      <c r="I331" s="21">
        <v>0</v>
      </c>
      <c r="J331" s="21">
        <v>0</v>
      </c>
      <c r="K331" s="21">
        <v>0</v>
      </c>
      <c r="L331" s="21">
        <v>0</v>
      </c>
      <c r="M331" s="21">
        <v>0</v>
      </c>
      <c r="N331" s="21">
        <v>0</v>
      </c>
      <c r="O331" s="21">
        <v>105073.3</v>
      </c>
      <c r="P331" s="21">
        <v>680950.9</v>
      </c>
      <c r="Q331" s="21">
        <v>172408.1</v>
      </c>
      <c r="R331" s="38"/>
      <c r="S331" s="38"/>
      <c r="T331" s="2"/>
      <c r="U331" s="2"/>
    </row>
    <row r="332" spans="1:21" ht="29" customHeight="1" x14ac:dyDescent="0.25">
      <c r="A332" s="71"/>
      <c r="B332" s="335"/>
      <c r="C332" s="190"/>
      <c r="D332" s="19" t="s">
        <v>18</v>
      </c>
      <c r="E332" s="20">
        <f t="shared" si="90"/>
        <v>312290.5</v>
      </c>
      <c r="F332" s="21"/>
      <c r="G332" s="21">
        <v>0</v>
      </c>
      <c r="H332" s="21">
        <v>0</v>
      </c>
      <c r="I332" s="21">
        <v>0</v>
      </c>
      <c r="J332" s="21">
        <v>0</v>
      </c>
      <c r="K332" s="21">
        <v>0</v>
      </c>
      <c r="L332" s="21">
        <v>0</v>
      </c>
      <c r="M332" s="21">
        <v>0</v>
      </c>
      <c r="N332" s="21">
        <v>0</v>
      </c>
      <c r="O332" s="27">
        <v>3249.7</v>
      </c>
      <c r="P332" s="27">
        <v>21060.3</v>
      </c>
      <c r="Q332" s="21">
        <v>287980.5</v>
      </c>
      <c r="R332" s="38"/>
      <c r="S332" s="38"/>
      <c r="T332" s="2"/>
      <c r="U332" s="2"/>
    </row>
    <row r="333" spans="1:21" ht="30.8" customHeight="1" x14ac:dyDescent="0.25">
      <c r="A333" s="71"/>
      <c r="B333" s="192"/>
      <c r="C333" s="190"/>
      <c r="D333" s="19" t="s">
        <v>19</v>
      </c>
      <c r="E333" s="20">
        <f t="shared" si="90"/>
        <v>49966.2</v>
      </c>
      <c r="F333" s="21"/>
      <c r="G333" s="21">
        <v>0</v>
      </c>
      <c r="H333" s="21">
        <v>0</v>
      </c>
      <c r="I333" s="21">
        <v>0</v>
      </c>
      <c r="J333" s="21">
        <v>0</v>
      </c>
      <c r="K333" s="21">
        <v>0</v>
      </c>
      <c r="L333" s="21">
        <v>0</v>
      </c>
      <c r="M333" s="21">
        <v>0</v>
      </c>
      <c r="N333" s="21">
        <v>0</v>
      </c>
      <c r="O333" s="21">
        <v>1094.2</v>
      </c>
      <c r="P333" s="21">
        <v>7091</v>
      </c>
      <c r="Q333" s="21">
        <f>4650.4+37130.6</f>
        <v>41781</v>
      </c>
      <c r="R333" s="38"/>
      <c r="S333" s="38"/>
      <c r="T333" s="2"/>
      <c r="U333" s="2"/>
    </row>
    <row r="334" spans="1:21" ht="40.950000000000003" customHeight="1" x14ac:dyDescent="0.25">
      <c r="A334" s="34"/>
      <c r="B334" s="191"/>
      <c r="C334" s="190"/>
      <c r="D334" s="19" t="s">
        <v>21</v>
      </c>
      <c r="E334" s="20">
        <f t="shared" si="90"/>
        <v>0</v>
      </c>
      <c r="F334" s="21"/>
      <c r="G334" s="21">
        <v>0</v>
      </c>
      <c r="H334" s="21">
        <v>0</v>
      </c>
      <c r="I334" s="21">
        <v>0</v>
      </c>
      <c r="J334" s="21">
        <v>0</v>
      </c>
      <c r="K334" s="21">
        <v>0</v>
      </c>
      <c r="L334" s="21">
        <v>0</v>
      </c>
      <c r="M334" s="21">
        <v>0</v>
      </c>
      <c r="N334" s="21">
        <v>0</v>
      </c>
      <c r="O334" s="21">
        <v>0</v>
      </c>
      <c r="P334" s="21">
        <v>0</v>
      </c>
      <c r="Q334" s="21">
        <v>0</v>
      </c>
      <c r="R334" s="38"/>
      <c r="S334" s="38"/>
      <c r="T334" s="2"/>
      <c r="U334" s="2"/>
    </row>
    <row r="335" spans="1:21" ht="45.35" customHeight="1" x14ac:dyDescent="0.25">
      <c r="A335" s="142" t="s">
        <v>220</v>
      </c>
      <c r="B335" s="293" t="s">
        <v>226</v>
      </c>
      <c r="C335" s="103"/>
      <c r="D335" s="41" t="s">
        <v>4</v>
      </c>
      <c r="E335" s="26">
        <f>SUM(F335:Q335)</f>
        <v>18157.099999999999</v>
      </c>
      <c r="F335" s="21"/>
      <c r="G335" s="21">
        <f t="shared" ref="G335:N335" si="91">SUM(G336:G339)</f>
        <v>0</v>
      </c>
      <c r="H335" s="21">
        <f t="shared" si="91"/>
        <v>0</v>
      </c>
      <c r="I335" s="21">
        <f t="shared" si="91"/>
        <v>0</v>
      </c>
      <c r="J335" s="21">
        <f t="shared" si="91"/>
        <v>0</v>
      </c>
      <c r="K335" s="21">
        <f t="shared" si="91"/>
        <v>0</v>
      </c>
      <c r="L335" s="21">
        <f t="shared" si="91"/>
        <v>0</v>
      </c>
      <c r="M335" s="21">
        <f t="shared" si="91"/>
        <v>0</v>
      </c>
      <c r="N335" s="21">
        <f t="shared" si="91"/>
        <v>0</v>
      </c>
      <c r="O335" s="18">
        <f>O336+O337+O338+O339</f>
        <v>2636.7</v>
      </c>
      <c r="P335" s="18">
        <f>P336+P337+P338+P339</f>
        <v>7760.2</v>
      </c>
      <c r="Q335" s="18">
        <f>Q336+Q337+Q338+Q339</f>
        <v>7760.2</v>
      </c>
      <c r="R335" s="38"/>
      <c r="S335" s="38"/>
      <c r="T335" s="2"/>
      <c r="U335" s="2"/>
    </row>
    <row r="336" spans="1:21" ht="40.950000000000003" customHeight="1" x14ac:dyDescent="0.25">
      <c r="A336" s="71"/>
      <c r="B336" s="325"/>
      <c r="C336" s="103"/>
      <c r="D336" s="19" t="s">
        <v>17</v>
      </c>
      <c r="E336" s="20">
        <f t="shared" si="90"/>
        <v>17612.400000000001</v>
      </c>
      <c r="F336" s="21"/>
      <c r="G336" s="21">
        <v>0</v>
      </c>
      <c r="H336" s="21">
        <v>0</v>
      </c>
      <c r="I336" s="21">
        <v>0</v>
      </c>
      <c r="J336" s="21">
        <v>0</v>
      </c>
      <c r="K336" s="21">
        <v>0</v>
      </c>
      <c r="L336" s="21">
        <v>0</v>
      </c>
      <c r="M336" s="21">
        <v>0</v>
      </c>
      <c r="N336" s="21">
        <v>0</v>
      </c>
      <c r="O336" s="21">
        <f>O341</f>
        <v>2557.6</v>
      </c>
      <c r="P336" s="21">
        <f>P341</f>
        <v>7527.4</v>
      </c>
      <c r="Q336" s="21">
        <f>Q341</f>
        <v>7527.4</v>
      </c>
      <c r="R336" s="38"/>
      <c r="S336" s="38"/>
      <c r="T336" s="2"/>
      <c r="U336" s="2"/>
    </row>
    <row r="337" spans="1:52" ht="40.950000000000003" customHeight="1" x14ac:dyDescent="0.25">
      <c r="A337" s="71"/>
      <c r="B337" s="325"/>
      <c r="C337" s="103"/>
      <c r="D337" s="19" t="s">
        <v>18</v>
      </c>
      <c r="E337" s="20">
        <f t="shared" si="90"/>
        <v>544.70000000000005</v>
      </c>
      <c r="F337" s="21"/>
      <c r="G337" s="21">
        <v>0</v>
      </c>
      <c r="H337" s="21">
        <v>0</v>
      </c>
      <c r="I337" s="21">
        <v>0</v>
      </c>
      <c r="J337" s="21">
        <v>0</v>
      </c>
      <c r="K337" s="21">
        <v>0</v>
      </c>
      <c r="L337" s="21">
        <v>0</v>
      </c>
      <c r="M337" s="21">
        <v>0</v>
      </c>
      <c r="N337" s="21">
        <v>0</v>
      </c>
      <c r="O337" s="21">
        <f t="shared" ref="O337:Q339" si="92">O342</f>
        <v>79.099999999999994</v>
      </c>
      <c r="P337" s="21">
        <f t="shared" si="92"/>
        <v>232.8</v>
      </c>
      <c r="Q337" s="21">
        <f t="shared" si="92"/>
        <v>232.8</v>
      </c>
      <c r="R337" s="38"/>
      <c r="S337" s="38"/>
      <c r="T337" s="2"/>
      <c r="U337" s="2"/>
    </row>
    <row r="338" spans="1:52" ht="40.950000000000003" customHeight="1" x14ac:dyDescent="0.25">
      <c r="A338" s="34"/>
      <c r="B338" s="225"/>
      <c r="C338" s="213"/>
      <c r="D338" s="19" t="s">
        <v>19</v>
      </c>
      <c r="E338" s="20">
        <f t="shared" si="90"/>
        <v>0</v>
      </c>
      <c r="F338" s="21"/>
      <c r="G338" s="21">
        <v>0</v>
      </c>
      <c r="H338" s="21">
        <v>0</v>
      </c>
      <c r="I338" s="21">
        <v>0</v>
      </c>
      <c r="J338" s="21">
        <v>0</v>
      </c>
      <c r="K338" s="21">
        <v>0</v>
      </c>
      <c r="L338" s="21">
        <v>0</v>
      </c>
      <c r="M338" s="21">
        <v>0</v>
      </c>
      <c r="N338" s="21">
        <v>0</v>
      </c>
      <c r="O338" s="21">
        <f t="shared" si="92"/>
        <v>0</v>
      </c>
      <c r="P338" s="21">
        <f t="shared" si="92"/>
        <v>0</v>
      </c>
      <c r="Q338" s="21">
        <f t="shared" si="92"/>
        <v>0</v>
      </c>
      <c r="R338" s="38"/>
      <c r="S338" s="38"/>
      <c r="T338" s="2"/>
      <c r="U338" s="2"/>
    </row>
    <row r="339" spans="1:52" ht="40.950000000000003" customHeight="1" x14ac:dyDescent="0.25">
      <c r="A339" s="34"/>
      <c r="B339" s="129"/>
      <c r="C339" s="103"/>
      <c r="D339" s="25" t="s">
        <v>21</v>
      </c>
      <c r="E339" s="26">
        <f t="shared" si="90"/>
        <v>0</v>
      </c>
      <c r="F339" s="27"/>
      <c r="G339" s="27">
        <v>0</v>
      </c>
      <c r="H339" s="27">
        <v>0</v>
      </c>
      <c r="I339" s="27">
        <v>0</v>
      </c>
      <c r="J339" s="27">
        <v>0</v>
      </c>
      <c r="K339" s="27">
        <v>0</v>
      </c>
      <c r="L339" s="27">
        <v>0</v>
      </c>
      <c r="M339" s="27">
        <v>0</v>
      </c>
      <c r="N339" s="27">
        <v>0</v>
      </c>
      <c r="O339" s="27">
        <f t="shared" si="92"/>
        <v>0</v>
      </c>
      <c r="P339" s="27">
        <f t="shared" si="92"/>
        <v>0</v>
      </c>
      <c r="Q339" s="27">
        <f t="shared" si="92"/>
        <v>0</v>
      </c>
      <c r="R339" s="38"/>
      <c r="S339" s="38"/>
      <c r="T339" s="2"/>
      <c r="U339" s="2"/>
    </row>
    <row r="340" spans="1:52" ht="32.1" customHeight="1" x14ac:dyDescent="0.25">
      <c r="A340" s="306" t="s">
        <v>225</v>
      </c>
      <c r="B340" s="306" t="s">
        <v>221</v>
      </c>
      <c r="C340" s="103"/>
      <c r="D340" s="41" t="s">
        <v>4</v>
      </c>
      <c r="E340" s="26">
        <f>SUM(F340:Q340)</f>
        <v>18157.099999999999</v>
      </c>
      <c r="F340" s="21"/>
      <c r="G340" s="21">
        <f>SUM(G341:G344)</f>
        <v>0</v>
      </c>
      <c r="H340" s="21">
        <f t="shared" ref="H340:N340" si="93">SUM(H341:H344)</f>
        <v>0</v>
      </c>
      <c r="I340" s="21">
        <f t="shared" si="93"/>
        <v>0</v>
      </c>
      <c r="J340" s="21">
        <f t="shared" si="93"/>
        <v>0</v>
      </c>
      <c r="K340" s="21">
        <f t="shared" si="93"/>
        <v>0</v>
      </c>
      <c r="L340" s="21">
        <f t="shared" si="93"/>
        <v>0</v>
      </c>
      <c r="M340" s="21">
        <f t="shared" si="93"/>
        <v>0</v>
      </c>
      <c r="N340" s="21">
        <f t="shared" si="93"/>
        <v>0</v>
      </c>
      <c r="O340" s="21">
        <f>O341+O342+O343+O344</f>
        <v>2636.7</v>
      </c>
      <c r="P340" s="21">
        <f>P341+P342+P343+P344</f>
        <v>7760.2</v>
      </c>
      <c r="Q340" s="21">
        <f>Q341+Q342+Q343+Q344</f>
        <v>7760.2</v>
      </c>
      <c r="R340" s="38"/>
      <c r="S340" s="38"/>
      <c r="T340" s="2"/>
      <c r="U340" s="2"/>
    </row>
    <row r="341" spans="1:52" ht="40.950000000000003" customHeight="1" x14ac:dyDescent="0.25">
      <c r="A341" s="267"/>
      <c r="B341" s="267"/>
      <c r="C341" s="103"/>
      <c r="D341" s="19" t="s">
        <v>17</v>
      </c>
      <c r="E341" s="20">
        <f t="shared" si="90"/>
        <v>17612.400000000001</v>
      </c>
      <c r="F341" s="21"/>
      <c r="G341" s="21">
        <v>0</v>
      </c>
      <c r="H341" s="21">
        <v>0</v>
      </c>
      <c r="I341" s="21">
        <v>0</v>
      </c>
      <c r="J341" s="21">
        <v>0</v>
      </c>
      <c r="K341" s="21">
        <v>0</v>
      </c>
      <c r="L341" s="21">
        <v>0</v>
      </c>
      <c r="M341" s="21">
        <v>0</v>
      </c>
      <c r="N341" s="21">
        <v>0</v>
      </c>
      <c r="O341" s="21">
        <v>2557.6</v>
      </c>
      <c r="P341" s="21">
        <v>7527.4</v>
      </c>
      <c r="Q341" s="21">
        <v>7527.4</v>
      </c>
      <c r="R341" s="38"/>
      <c r="S341" s="38"/>
      <c r="T341" s="2"/>
      <c r="U341" s="2"/>
    </row>
    <row r="342" spans="1:52" ht="34.85" customHeight="1" x14ac:dyDescent="0.25">
      <c r="A342" s="267"/>
      <c r="B342" s="267"/>
      <c r="C342" s="103"/>
      <c r="D342" s="19" t="s">
        <v>18</v>
      </c>
      <c r="E342" s="20">
        <f t="shared" si="90"/>
        <v>544.70000000000005</v>
      </c>
      <c r="F342" s="21"/>
      <c r="G342" s="21">
        <v>0</v>
      </c>
      <c r="H342" s="21">
        <v>0</v>
      </c>
      <c r="I342" s="21">
        <v>0</v>
      </c>
      <c r="J342" s="21">
        <v>0</v>
      </c>
      <c r="K342" s="21">
        <v>0</v>
      </c>
      <c r="L342" s="21">
        <v>0</v>
      </c>
      <c r="M342" s="21">
        <v>0</v>
      </c>
      <c r="N342" s="21">
        <v>0</v>
      </c>
      <c r="O342" s="21">
        <v>79.099999999999994</v>
      </c>
      <c r="P342" s="21">
        <v>232.8</v>
      </c>
      <c r="Q342" s="21">
        <v>232.8</v>
      </c>
      <c r="R342" s="38"/>
      <c r="S342" s="38"/>
      <c r="T342" s="2"/>
      <c r="U342" s="2"/>
    </row>
    <row r="343" spans="1:52" ht="33.4" customHeight="1" x14ac:dyDescent="0.25">
      <c r="A343" s="267"/>
      <c r="B343" s="267"/>
      <c r="C343" s="104"/>
      <c r="D343" s="19" t="s">
        <v>19</v>
      </c>
      <c r="E343" s="20">
        <f t="shared" si="90"/>
        <v>0</v>
      </c>
      <c r="F343" s="21"/>
      <c r="G343" s="21">
        <v>0</v>
      </c>
      <c r="H343" s="21">
        <v>0</v>
      </c>
      <c r="I343" s="21">
        <v>0</v>
      </c>
      <c r="J343" s="21">
        <v>0</v>
      </c>
      <c r="K343" s="21">
        <v>0</v>
      </c>
      <c r="L343" s="21">
        <v>0</v>
      </c>
      <c r="M343" s="21">
        <v>0</v>
      </c>
      <c r="N343" s="21">
        <v>0</v>
      </c>
      <c r="O343" s="21">
        <v>0</v>
      </c>
      <c r="P343" s="21">
        <v>0</v>
      </c>
      <c r="Q343" s="21">
        <v>0</v>
      </c>
      <c r="R343" s="38"/>
      <c r="S343" s="38"/>
      <c r="T343" s="2"/>
      <c r="U343" s="2"/>
    </row>
    <row r="344" spans="1:52" ht="29.95" customHeight="1" x14ac:dyDescent="0.25">
      <c r="A344" s="297"/>
      <c r="B344" s="297"/>
      <c r="C344" s="103"/>
      <c r="D344" s="25" t="s">
        <v>21</v>
      </c>
      <c r="E344" s="26">
        <f t="shared" si="90"/>
        <v>0</v>
      </c>
      <c r="F344" s="27"/>
      <c r="G344" s="27">
        <v>0</v>
      </c>
      <c r="H344" s="27">
        <v>0</v>
      </c>
      <c r="I344" s="27">
        <v>0</v>
      </c>
      <c r="J344" s="27">
        <v>0</v>
      </c>
      <c r="K344" s="27">
        <v>0</v>
      </c>
      <c r="L344" s="27">
        <v>0</v>
      </c>
      <c r="M344" s="27">
        <v>0</v>
      </c>
      <c r="N344" s="27">
        <v>0</v>
      </c>
      <c r="O344" s="27">
        <v>0</v>
      </c>
      <c r="P344" s="27">
        <v>0</v>
      </c>
      <c r="Q344" s="27">
        <v>0</v>
      </c>
      <c r="R344" s="38"/>
      <c r="S344" s="38"/>
      <c r="T344" s="2"/>
      <c r="U344" s="2"/>
    </row>
    <row r="345" spans="1:52" ht="23.9" customHeight="1" x14ac:dyDescent="0.25">
      <c r="A345" s="85" t="s">
        <v>76</v>
      </c>
      <c r="B345" s="294" t="s">
        <v>77</v>
      </c>
      <c r="C345" s="341" t="s">
        <v>16</v>
      </c>
      <c r="D345" s="16" t="s">
        <v>4</v>
      </c>
      <c r="E345" s="17">
        <f>SUM(E346:E348)</f>
        <v>900225.00000000012</v>
      </c>
      <c r="F345" s="18">
        <f t="shared" ref="F345:L345" si="94">SUM(F346:F348)</f>
        <v>0</v>
      </c>
      <c r="G345" s="18">
        <f t="shared" si="94"/>
        <v>70546.600000000006</v>
      </c>
      <c r="H345" s="18">
        <f t="shared" si="94"/>
        <v>72337.200000000012</v>
      </c>
      <c r="I345" s="18">
        <f t="shared" si="94"/>
        <v>75088.200000000012</v>
      </c>
      <c r="J345" s="18">
        <f t="shared" si="94"/>
        <v>77224.799999999988</v>
      </c>
      <c r="K345" s="18">
        <f t="shared" si="94"/>
        <v>78870.299999999988</v>
      </c>
      <c r="L345" s="18">
        <f t="shared" si="94"/>
        <v>68821.3</v>
      </c>
      <c r="M345" s="18">
        <f>SUM(M346:M348)</f>
        <v>88265.1</v>
      </c>
      <c r="N345" s="18">
        <f>SUM(N346:N348)</f>
        <v>84551.6</v>
      </c>
      <c r="O345" s="18">
        <f>SUM(O346:O348)</f>
        <v>91434.4</v>
      </c>
      <c r="P345" s="18">
        <f>SUM(P346:P348)</f>
        <v>96516.799999999988</v>
      </c>
      <c r="Q345" s="18">
        <f>SUM(Q346:Q348)</f>
        <v>96568.7</v>
      </c>
      <c r="R345" s="86"/>
      <c r="S345" s="86"/>
      <c r="T345" s="2">
        <v>100635.4</v>
      </c>
      <c r="U345" s="2"/>
      <c r="AZ345" s="2"/>
    </row>
    <row r="346" spans="1:52" ht="30.45" customHeight="1" x14ac:dyDescent="0.25">
      <c r="A346" s="54"/>
      <c r="B346" s="289"/>
      <c r="C346" s="269"/>
      <c r="D346" s="19" t="s">
        <v>17</v>
      </c>
      <c r="E346" s="20">
        <f t="shared" ref="E346:E351" si="95">SUM(F346:Q346)</f>
        <v>0</v>
      </c>
      <c r="F346" s="21">
        <f t="shared" ref="F346:Q347" si="96">F356+F361+F366+F371+F381+F386+F401+F406+F411</f>
        <v>0</v>
      </c>
      <c r="G346" s="21">
        <f t="shared" si="96"/>
        <v>0</v>
      </c>
      <c r="H346" s="21">
        <f t="shared" si="96"/>
        <v>0</v>
      </c>
      <c r="I346" s="21">
        <f t="shared" si="96"/>
        <v>0</v>
      </c>
      <c r="J346" s="21">
        <f t="shared" si="96"/>
        <v>0</v>
      </c>
      <c r="K346" s="21">
        <f t="shared" si="96"/>
        <v>0</v>
      </c>
      <c r="L346" s="21">
        <f t="shared" si="96"/>
        <v>0</v>
      </c>
      <c r="M346" s="21">
        <f t="shared" si="96"/>
        <v>0</v>
      </c>
      <c r="N346" s="21">
        <f t="shared" si="96"/>
        <v>0</v>
      </c>
      <c r="O346" s="21">
        <f t="shared" si="96"/>
        <v>0</v>
      </c>
      <c r="P346" s="21">
        <f t="shared" si="96"/>
        <v>0</v>
      </c>
      <c r="Q346" s="21">
        <f t="shared" si="96"/>
        <v>0</v>
      </c>
      <c r="R346" s="38"/>
      <c r="S346" s="38"/>
      <c r="T346" s="2"/>
      <c r="U346" s="2"/>
    </row>
    <row r="347" spans="1:52" ht="30.8" customHeight="1" x14ac:dyDescent="0.25">
      <c r="A347" s="54"/>
      <c r="B347" s="289"/>
      <c r="C347" s="269"/>
      <c r="D347" s="19" t="s">
        <v>18</v>
      </c>
      <c r="E347" s="20">
        <f t="shared" si="95"/>
        <v>842414.20000000007</v>
      </c>
      <c r="F347" s="21">
        <f t="shared" si="96"/>
        <v>0</v>
      </c>
      <c r="G347" s="21">
        <f t="shared" si="96"/>
        <v>64983.5</v>
      </c>
      <c r="H347" s="21">
        <f t="shared" si="96"/>
        <v>65431.30000000001</v>
      </c>
      <c r="I347" s="21">
        <f t="shared" si="96"/>
        <v>67013.400000000009</v>
      </c>
      <c r="J347" s="21">
        <f t="shared" si="96"/>
        <v>68486.799999999988</v>
      </c>
      <c r="K347" s="21">
        <f t="shared" si="96"/>
        <v>69838.399999999994</v>
      </c>
      <c r="L347" s="21">
        <f t="shared" si="96"/>
        <v>67239.8</v>
      </c>
      <c r="M347" s="21">
        <f>M357+M362+M367+M372+M382+M387+M402+M407+M412</f>
        <v>80099</v>
      </c>
      <c r="N347" s="21">
        <f t="shared" si="96"/>
        <v>82324.100000000006</v>
      </c>
      <c r="O347" s="21">
        <f>O357+O362+O367+O372+O382+O387+O402+O407+O412</f>
        <v>88068.7</v>
      </c>
      <c r="P347" s="21">
        <f t="shared" si="96"/>
        <v>94427.299999999988</v>
      </c>
      <c r="Q347" s="21">
        <f t="shared" si="96"/>
        <v>94501.9</v>
      </c>
      <c r="R347" s="38"/>
      <c r="S347" s="38"/>
      <c r="T347" s="2"/>
      <c r="U347" s="2"/>
    </row>
    <row r="348" spans="1:52" ht="25.55" customHeight="1" x14ac:dyDescent="0.25">
      <c r="A348" s="54"/>
      <c r="B348" s="289"/>
      <c r="C348" s="269"/>
      <c r="D348" s="19" t="s">
        <v>19</v>
      </c>
      <c r="E348" s="20">
        <f t="shared" si="95"/>
        <v>57810.799999999996</v>
      </c>
      <c r="F348" s="21">
        <f>F358+F363+F368+F373+F383+F388+F403+F408+F413</f>
        <v>0</v>
      </c>
      <c r="G348" s="21">
        <f t="shared" ref="G348:L348" si="97">G358+G363+G368+G373+G383+G388+G403+G408+G413+G393</f>
        <v>5563.1</v>
      </c>
      <c r="H348" s="21">
        <f t="shared" si="97"/>
        <v>6905.9</v>
      </c>
      <c r="I348" s="21">
        <f t="shared" si="97"/>
        <v>8074.8</v>
      </c>
      <c r="J348" s="21">
        <f t="shared" si="97"/>
        <v>8738</v>
      </c>
      <c r="K348" s="21">
        <f t="shared" si="97"/>
        <v>9031.9</v>
      </c>
      <c r="L348" s="21">
        <f t="shared" si="97"/>
        <v>1581.5</v>
      </c>
      <c r="M348" s="21">
        <f>M358+M363+M368+M373+M383+M388+M403+M408+M413+M393</f>
        <v>8166.0999999999995</v>
      </c>
      <c r="N348" s="21">
        <f>N358+N363+N368+N373+N383+N388+N403+N408+N413+N393</f>
        <v>2227.5</v>
      </c>
      <c r="O348" s="21">
        <f>O358+O363+O368+O373+O383+O388+O403+O408+O413+O393</f>
        <v>3365.7</v>
      </c>
      <c r="P348" s="21">
        <f>P358+P363+P368+P373+P383+P388+P403+P408+P413+P393</f>
        <v>2089.5</v>
      </c>
      <c r="Q348" s="21">
        <f>Q358+Q363+Q368+Q373+Q383+Q388+Q403+Q408+Q413+Q393</f>
        <v>2066.8000000000002</v>
      </c>
      <c r="R348" s="38"/>
      <c r="S348" s="38"/>
      <c r="T348" s="2"/>
      <c r="U348" s="2"/>
    </row>
    <row r="349" spans="1:52" ht="42.05" customHeight="1" x14ac:dyDescent="0.25">
      <c r="A349" s="54"/>
      <c r="B349" s="289"/>
      <c r="C349" s="270"/>
      <c r="D349" s="19" t="s">
        <v>21</v>
      </c>
      <c r="E349" s="20">
        <f t="shared" si="95"/>
        <v>0</v>
      </c>
      <c r="F349" s="21"/>
      <c r="G349" s="21">
        <f t="shared" ref="G349:L349" si="98">G359+G364+G369+G374+G384+G389+G409+G414</f>
        <v>0</v>
      </c>
      <c r="H349" s="21">
        <f t="shared" si="98"/>
        <v>0</v>
      </c>
      <c r="I349" s="21">
        <f t="shared" si="98"/>
        <v>0</v>
      </c>
      <c r="J349" s="21">
        <f t="shared" si="98"/>
        <v>0</v>
      </c>
      <c r="K349" s="21">
        <f t="shared" si="98"/>
        <v>0</v>
      </c>
      <c r="L349" s="21">
        <f t="shared" si="98"/>
        <v>0</v>
      </c>
      <c r="M349" s="21">
        <f>M359+M364+M369+M374+M384+M389+M409+M414</f>
        <v>0</v>
      </c>
      <c r="N349" s="21">
        <f>N359+N364+N369+N374+N384+N389+N409+N414</f>
        <v>0</v>
      </c>
      <c r="O349" s="21">
        <f>O359+O364+O369+O374+O384+O389+O409+O414</f>
        <v>0</v>
      </c>
      <c r="P349" s="21">
        <f>P359+P364+P369+P374+P384+P389+P409+P414</f>
        <v>0</v>
      </c>
      <c r="Q349" s="21">
        <f>Q359+Q364+Q369+Q374+Q384+Q389+Q409+Q414</f>
        <v>0</v>
      </c>
      <c r="R349" s="38"/>
      <c r="S349" s="38"/>
      <c r="T349" s="2"/>
      <c r="U349" s="2"/>
    </row>
    <row r="350" spans="1:52" ht="28.5" customHeight="1" x14ac:dyDescent="0.25">
      <c r="A350" s="281" t="s">
        <v>127</v>
      </c>
      <c r="B350" s="293" t="s">
        <v>78</v>
      </c>
      <c r="C350" s="32"/>
      <c r="D350" s="16" t="s">
        <v>4</v>
      </c>
      <c r="E350" s="17">
        <f t="shared" si="95"/>
        <v>760903.9</v>
      </c>
      <c r="F350" s="18"/>
      <c r="G350" s="18">
        <f t="shared" ref="G350:L350" si="99">G355+G365+G370+G360</f>
        <v>55536.3</v>
      </c>
      <c r="H350" s="18">
        <f t="shared" si="99"/>
        <v>58615.000000000007</v>
      </c>
      <c r="I350" s="18">
        <f t="shared" si="99"/>
        <v>59909.8</v>
      </c>
      <c r="J350" s="18">
        <f t="shared" si="99"/>
        <v>60829.799999999996</v>
      </c>
      <c r="K350" s="18">
        <f t="shared" si="99"/>
        <v>62456.6</v>
      </c>
      <c r="L350" s="18">
        <f t="shared" si="99"/>
        <v>67239.8</v>
      </c>
      <c r="M350" s="18">
        <f>M355+M365+M370+M360</f>
        <v>73921.2</v>
      </c>
      <c r="N350" s="18">
        <f>N355+N365+N370+N360</f>
        <v>74987.100000000006</v>
      </c>
      <c r="O350" s="18">
        <f>O355+O365+O370+O360</f>
        <v>77133.499999999985</v>
      </c>
      <c r="P350" s="18">
        <f>P355+P365+P370+P360</f>
        <v>85096.400000000009</v>
      </c>
      <c r="Q350" s="18">
        <f>Q355+Q365+Q370+Q360</f>
        <v>85178.400000000009</v>
      </c>
      <c r="R350" s="86"/>
      <c r="S350" s="86"/>
      <c r="T350" s="2"/>
      <c r="U350" s="2"/>
      <c r="AZ350" s="2"/>
    </row>
    <row r="351" spans="1:52" ht="22.95" customHeight="1" x14ac:dyDescent="0.25">
      <c r="A351" s="323"/>
      <c r="B351" s="287"/>
      <c r="C351" s="115"/>
      <c r="D351" s="19" t="s">
        <v>17</v>
      </c>
      <c r="E351" s="20">
        <f t="shared" si="95"/>
        <v>0</v>
      </c>
      <c r="F351" s="18"/>
      <c r="G351" s="21">
        <f t="shared" ref="G351:Q354" si="100">G356+G361+G366+G371</f>
        <v>0</v>
      </c>
      <c r="H351" s="21">
        <f t="shared" si="100"/>
        <v>0</v>
      </c>
      <c r="I351" s="21">
        <f t="shared" si="100"/>
        <v>0</v>
      </c>
      <c r="J351" s="21">
        <f t="shared" si="100"/>
        <v>0</v>
      </c>
      <c r="K351" s="21">
        <f t="shared" si="100"/>
        <v>0</v>
      </c>
      <c r="L351" s="21">
        <f t="shared" si="100"/>
        <v>0</v>
      </c>
      <c r="M351" s="21">
        <f t="shared" si="100"/>
        <v>0</v>
      </c>
      <c r="N351" s="21">
        <f t="shared" si="100"/>
        <v>0</v>
      </c>
      <c r="O351" s="21">
        <f t="shared" si="100"/>
        <v>0</v>
      </c>
      <c r="P351" s="21">
        <f t="shared" si="100"/>
        <v>0</v>
      </c>
      <c r="Q351" s="21">
        <f t="shared" si="100"/>
        <v>0</v>
      </c>
      <c r="R351" s="38"/>
      <c r="S351" s="38"/>
      <c r="T351" s="2"/>
      <c r="U351" s="2"/>
    </row>
    <row r="352" spans="1:52" ht="26.2" customHeight="1" x14ac:dyDescent="0.25">
      <c r="A352" s="323"/>
      <c r="B352" s="287"/>
      <c r="C352" s="48"/>
      <c r="D352" s="19" t="s">
        <v>18</v>
      </c>
      <c r="E352" s="20">
        <f>SUM(F352:Q352)</f>
        <v>760903.9</v>
      </c>
      <c r="F352" s="18"/>
      <c r="G352" s="21">
        <f t="shared" si="100"/>
        <v>55536.3</v>
      </c>
      <c r="H352" s="21">
        <f t="shared" si="100"/>
        <v>58615.000000000007</v>
      </c>
      <c r="I352" s="21">
        <f t="shared" si="100"/>
        <v>59909.8</v>
      </c>
      <c r="J352" s="21">
        <f t="shared" si="100"/>
        <v>60829.799999999996</v>
      </c>
      <c r="K352" s="21">
        <f t="shared" si="100"/>
        <v>62456.6</v>
      </c>
      <c r="L352" s="21">
        <f t="shared" si="100"/>
        <v>67239.8</v>
      </c>
      <c r="M352" s="21">
        <f t="shared" si="100"/>
        <v>73921.2</v>
      </c>
      <c r="N352" s="21">
        <f t="shared" si="100"/>
        <v>74987.100000000006</v>
      </c>
      <c r="O352" s="21">
        <f t="shared" si="100"/>
        <v>77133.5</v>
      </c>
      <c r="P352" s="21">
        <f t="shared" si="100"/>
        <v>85096.4</v>
      </c>
      <c r="Q352" s="21">
        <f t="shared" si="100"/>
        <v>85178.4</v>
      </c>
      <c r="R352" s="38"/>
      <c r="S352" s="38"/>
      <c r="T352" s="2"/>
      <c r="U352" s="2"/>
    </row>
    <row r="353" spans="1:21" ht="25.55" customHeight="1" x14ac:dyDescent="0.25">
      <c r="A353" s="100"/>
      <c r="B353" s="113"/>
      <c r="C353" s="114"/>
      <c r="D353" s="25" t="s">
        <v>19</v>
      </c>
      <c r="E353" s="26">
        <f>SUM(F353:Q353)</f>
        <v>0</v>
      </c>
      <c r="F353" s="43"/>
      <c r="G353" s="27">
        <f t="shared" si="100"/>
        <v>0</v>
      </c>
      <c r="H353" s="27">
        <f t="shared" si="100"/>
        <v>0</v>
      </c>
      <c r="I353" s="27">
        <f t="shared" si="100"/>
        <v>0</v>
      </c>
      <c r="J353" s="27">
        <f t="shared" si="100"/>
        <v>0</v>
      </c>
      <c r="K353" s="27">
        <f t="shared" si="100"/>
        <v>0</v>
      </c>
      <c r="L353" s="27">
        <f t="shared" si="100"/>
        <v>0</v>
      </c>
      <c r="M353" s="27">
        <f t="shared" si="100"/>
        <v>0</v>
      </c>
      <c r="N353" s="27">
        <f t="shared" si="100"/>
        <v>0</v>
      </c>
      <c r="O353" s="27">
        <f t="shared" si="100"/>
        <v>0</v>
      </c>
      <c r="P353" s="27">
        <f t="shared" si="100"/>
        <v>0</v>
      </c>
      <c r="Q353" s="27">
        <f t="shared" si="100"/>
        <v>0</v>
      </c>
      <c r="R353" s="38"/>
      <c r="S353" s="38"/>
      <c r="T353" s="2"/>
      <c r="U353" s="2"/>
    </row>
    <row r="354" spans="1:21" ht="35.549999999999997" customHeight="1" x14ac:dyDescent="0.25">
      <c r="A354" s="127"/>
      <c r="B354" s="127"/>
      <c r="C354" s="115"/>
      <c r="D354" s="19" t="s">
        <v>21</v>
      </c>
      <c r="E354" s="20">
        <f t="shared" ref="E354:E361" si="101">SUM(F354:Q354)</f>
        <v>0</v>
      </c>
      <c r="F354" s="18"/>
      <c r="G354" s="21">
        <f t="shared" si="100"/>
        <v>0</v>
      </c>
      <c r="H354" s="21">
        <f t="shared" si="100"/>
        <v>0</v>
      </c>
      <c r="I354" s="21">
        <f t="shared" si="100"/>
        <v>0</v>
      </c>
      <c r="J354" s="21">
        <f t="shared" si="100"/>
        <v>0</v>
      </c>
      <c r="K354" s="21">
        <f t="shared" si="100"/>
        <v>0</v>
      </c>
      <c r="L354" s="21">
        <f t="shared" si="100"/>
        <v>0</v>
      </c>
      <c r="M354" s="21">
        <f t="shared" si="100"/>
        <v>0</v>
      </c>
      <c r="N354" s="21">
        <f t="shared" si="100"/>
        <v>0</v>
      </c>
      <c r="O354" s="21">
        <f t="shared" si="100"/>
        <v>0</v>
      </c>
      <c r="P354" s="21">
        <f t="shared" si="100"/>
        <v>0</v>
      </c>
      <c r="Q354" s="21">
        <f t="shared" si="100"/>
        <v>0</v>
      </c>
      <c r="R354" s="38"/>
      <c r="S354" s="38"/>
      <c r="T354" s="2"/>
      <c r="U354" s="2"/>
    </row>
    <row r="355" spans="1:21" ht="37.5" customHeight="1" x14ac:dyDescent="0.25">
      <c r="A355" s="99" t="s">
        <v>79</v>
      </c>
      <c r="B355" s="342" t="s">
        <v>182</v>
      </c>
      <c r="C355" s="268" t="s">
        <v>80</v>
      </c>
      <c r="D355" s="19" t="s">
        <v>29</v>
      </c>
      <c r="E355" s="20">
        <f t="shared" si="101"/>
        <v>136655</v>
      </c>
      <c r="F355" s="21">
        <f>SUM(F356:F358)</f>
        <v>0</v>
      </c>
      <c r="G355" s="21">
        <f t="shared" ref="G355:L355" si="102">SUM(G356:G358)</f>
        <v>6386.8</v>
      </c>
      <c r="H355" s="21">
        <f t="shared" si="102"/>
        <v>6386.8</v>
      </c>
      <c r="I355" s="21">
        <f t="shared" si="102"/>
        <v>6386.8</v>
      </c>
      <c r="J355" s="21">
        <f t="shared" si="102"/>
        <v>6621</v>
      </c>
      <c r="K355" s="21">
        <f t="shared" si="102"/>
        <v>7885.9</v>
      </c>
      <c r="L355" s="21">
        <f t="shared" si="102"/>
        <v>8895.6</v>
      </c>
      <c r="M355" s="21">
        <f>SUM(M356:M358)</f>
        <v>15364.5</v>
      </c>
      <c r="N355" s="21">
        <f>SUM(N356:N358)</f>
        <v>18975.7</v>
      </c>
      <c r="O355" s="21">
        <f>SUM(O356:O358)</f>
        <v>19917.3</v>
      </c>
      <c r="P355" s="21">
        <f>SUM(P356:P358)</f>
        <v>19917.3</v>
      </c>
      <c r="Q355" s="21">
        <f>SUM(Q356:Q358)</f>
        <v>19917.3</v>
      </c>
      <c r="R355" s="38"/>
      <c r="S355" s="38"/>
      <c r="T355" s="2"/>
      <c r="U355" s="2"/>
    </row>
    <row r="356" spans="1:21" ht="32.1" customHeight="1" x14ac:dyDescent="0.25">
      <c r="A356" s="100"/>
      <c r="B356" s="284"/>
      <c r="C356" s="291"/>
      <c r="D356" s="19" t="s">
        <v>17</v>
      </c>
      <c r="E356" s="20">
        <f t="shared" si="101"/>
        <v>0</v>
      </c>
      <c r="F356" s="21">
        <v>0</v>
      </c>
      <c r="G356" s="21">
        <v>0</v>
      </c>
      <c r="H356" s="21">
        <v>0</v>
      </c>
      <c r="I356" s="21">
        <v>0</v>
      </c>
      <c r="J356" s="21">
        <v>0</v>
      </c>
      <c r="K356" s="21">
        <v>0</v>
      </c>
      <c r="L356" s="21">
        <v>0</v>
      </c>
      <c r="M356" s="21">
        <v>0</v>
      </c>
      <c r="N356" s="21">
        <v>0</v>
      </c>
      <c r="O356" s="21">
        <v>0</v>
      </c>
      <c r="P356" s="21">
        <v>0</v>
      </c>
      <c r="Q356" s="21">
        <v>0</v>
      </c>
      <c r="R356" s="38"/>
      <c r="S356" s="38"/>
      <c r="T356" s="2"/>
      <c r="U356" s="2"/>
    </row>
    <row r="357" spans="1:21" ht="30.45" customHeight="1" x14ac:dyDescent="0.25">
      <c r="A357" s="100"/>
      <c r="B357" s="284"/>
      <c r="C357" s="291"/>
      <c r="D357" s="19" t="s">
        <v>18</v>
      </c>
      <c r="E357" s="20">
        <f t="shared" si="101"/>
        <v>136655</v>
      </c>
      <c r="F357" s="21"/>
      <c r="G357" s="21">
        <f>5857.1+529.7</f>
        <v>6386.8</v>
      </c>
      <c r="H357" s="21">
        <v>6386.8</v>
      </c>
      <c r="I357" s="21">
        <v>6386.8</v>
      </c>
      <c r="J357" s="21">
        <v>6621</v>
      </c>
      <c r="K357" s="21">
        <v>7885.9</v>
      </c>
      <c r="L357" s="21">
        <f>8168.6+727</f>
        <v>8895.6</v>
      </c>
      <c r="M357" s="21">
        <f>9125.6+6238.9</f>
        <v>15364.5</v>
      </c>
      <c r="N357" s="21">
        <f>9125.6+6238.9+3611.2</f>
        <v>18975.7</v>
      </c>
      <c r="O357" s="21">
        <f>9125.6+6238.9+3611.2+941.6</f>
        <v>19917.3</v>
      </c>
      <c r="P357" s="21">
        <f>15364.5+3611.2+941.6</f>
        <v>19917.3</v>
      </c>
      <c r="Q357" s="21">
        <f>15364.5+3611.2+941.6</f>
        <v>19917.3</v>
      </c>
      <c r="R357" s="38"/>
      <c r="S357" s="38"/>
      <c r="T357" s="2"/>
      <c r="U357" s="2"/>
    </row>
    <row r="358" spans="1:21" ht="26.2" customHeight="1" x14ac:dyDescent="0.25">
      <c r="A358" s="100"/>
      <c r="B358" s="284"/>
      <c r="C358" s="291"/>
      <c r="D358" s="19" t="s">
        <v>19</v>
      </c>
      <c r="E358" s="20">
        <f t="shared" si="101"/>
        <v>0</v>
      </c>
      <c r="F358" s="21">
        <v>0</v>
      </c>
      <c r="G358" s="21">
        <v>0</v>
      </c>
      <c r="H358" s="21">
        <v>0</v>
      </c>
      <c r="I358" s="21">
        <v>0</v>
      </c>
      <c r="J358" s="21">
        <v>0</v>
      </c>
      <c r="K358" s="21">
        <v>0</v>
      </c>
      <c r="L358" s="21">
        <v>0</v>
      </c>
      <c r="M358" s="21">
        <v>0</v>
      </c>
      <c r="N358" s="21">
        <v>0</v>
      </c>
      <c r="O358" s="21">
        <v>0</v>
      </c>
      <c r="P358" s="21">
        <v>0</v>
      </c>
      <c r="Q358" s="21">
        <v>0</v>
      </c>
      <c r="R358" s="38"/>
      <c r="S358" s="38"/>
      <c r="T358" s="2"/>
      <c r="U358" s="2"/>
    </row>
    <row r="359" spans="1:21" ht="30.8" customHeight="1" x14ac:dyDescent="0.25">
      <c r="A359" s="127"/>
      <c r="B359" s="285"/>
      <c r="C359" s="292"/>
      <c r="D359" s="19" t="s">
        <v>21</v>
      </c>
      <c r="E359" s="20">
        <f t="shared" si="101"/>
        <v>0</v>
      </c>
      <c r="F359" s="20">
        <f>SUM(G359:L359)</f>
        <v>0</v>
      </c>
      <c r="G359" s="20">
        <f>SUM(H359:L359)</f>
        <v>0</v>
      </c>
      <c r="H359" s="20">
        <f>SUM(I359:L359)</f>
        <v>0</v>
      </c>
      <c r="I359" s="20">
        <f>SUM(J359:L359)</f>
        <v>0</v>
      </c>
      <c r="J359" s="20">
        <f>SUM(K359:L359)</f>
        <v>0</v>
      </c>
      <c r="K359" s="20">
        <f>SUM(L359:L359)</f>
        <v>0</v>
      </c>
      <c r="L359" s="20">
        <f t="shared" ref="L359:Q359" si="103">SUM(T359:T359)</f>
        <v>0</v>
      </c>
      <c r="M359" s="20">
        <f t="shared" si="103"/>
        <v>0</v>
      </c>
      <c r="N359" s="20">
        <f t="shared" si="103"/>
        <v>0</v>
      </c>
      <c r="O359" s="20">
        <f t="shared" si="103"/>
        <v>0</v>
      </c>
      <c r="P359" s="20">
        <f t="shared" si="103"/>
        <v>0</v>
      </c>
      <c r="Q359" s="20">
        <f t="shared" si="103"/>
        <v>0</v>
      </c>
      <c r="R359" s="37"/>
      <c r="S359" s="37"/>
      <c r="T359" s="2"/>
      <c r="U359" s="2"/>
    </row>
    <row r="360" spans="1:21" ht="30.8" customHeight="1" x14ac:dyDescent="0.25">
      <c r="A360" s="130" t="s">
        <v>81</v>
      </c>
      <c r="B360" s="344" t="s">
        <v>174</v>
      </c>
      <c r="C360" s="268" t="s">
        <v>80</v>
      </c>
      <c r="D360" s="19" t="s">
        <v>29</v>
      </c>
      <c r="E360" s="20">
        <f t="shared" si="101"/>
        <v>53644.200000000004</v>
      </c>
      <c r="F360" s="21">
        <f>SUM(F361:F363)</f>
        <v>0</v>
      </c>
      <c r="G360" s="21">
        <f t="shared" ref="G360:L360" si="104">SUM(G361:G363)</f>
        <v>4088.6</v>
      </c>
      <c r="H360" s="21">
        <f t="shared" si="104"/>
        <v>4567.3999999999996</v>
      </c>
      <c r="I360" s="21">
        <f t="shared" si="104"/>
        <v>4925</v>
      </c>
      <c r="J360" s="21">
        <f t="shared" si="104"/>
        <v>5143.3999999999996</v>
      </c>
      <c r="K360" s="21">
        <f t="shared" si="104"/>
        <v>2642.5</v>
      </c>
      <c r="L360" s="21">
        <f t="shared" si="104"/>
        <v>4877</v>
      </c>
      <c r="M360" s="21">
        <f>SUM(M361:M363)</f>
        <v>6698.2</v>
      </c>
      <c r="N360" s="21">
        <f>SUM(N361:N363)</f>
        <v>5378.1</v>
      </c>
      <c r="O360" s="21">
        <f>SUM(O361:O363)</f>
        <v>4923.3999999999996</v>
      </c>
      <c r="P360" s="21">
        <f>SUM(P361:P363)</f>
        <v>5121.8</v>
      </c>
      <c r="Q360" s="21">
        <f>SUM(Q361:Q363)</f>
        <v>5278.8</v>
      </c>
      <c r="R360" s="38"/>
      <c r="S360" s="38"/>
      <c r="T360" s="2"/>
      <c r="U360" s="2"/>
    </row>
    <row r="361" spans="1:21" ht="35.700000000000003" customHeight="1" x14ac:dyDescent="0.25">
      <c r="A361" s="23"/>
      <c r="B361" s="284"/>
      <c r="C361" s="269"/>
      <c r="D361" s="19" t="s">
        <v>17</v>
      </c>
      <c r="E361" s="20">
        <f t="shared" si="101"/>
        <v>0</v>
      </c>
      <c r="F361" s="21">
        <v>0</v>
      </c>
      <c r="G361" s="21">
        <v>0</v>
      </c>
      <c r="H361" s="21">
        <v>0</v>
      </c>
      <c r="I361" s="21">
        <v>0</v>
      </c>
      <c r="J361" s="21">
        <v>0</v>
      </c>
      <c r="K361" s="21">
        <v>0</v>
      </c>
      <c r="L361" s="21">
        <v>0</v>
      </c>
      <c r="M361" s="21">
        <v>0</v>
      </c>
      <c r="N361" s="21">
        <v>0</v>
      </c>
      <c r="O361" s="21">
        <v>0</v>
      </c>
      <c r="P361" s="21">
        <v>0</v>
      </c>
      <c r="Q361" s="21">
        <v>0</v>
      </c>
      <c r="R361" s="38"/>
      <c r="S361" s="38"/>
      <c r="T361" s="2"/>
      <c r="U361" s="2"/>
    </row>
    <row r="362" spans="1:21" ht="37.35" customHeight="1" x14ac:dyDescent="0.25">
      <c r="A362" s="23"/>
      <c r="B362" s="284"/>
      <c r="C362" s="269"/>
      <c r="D362" s="19" t="s">
        <v>18</v>
      </c>
      <c r="E362" s="20">
        <f>SUM(F362:Q362)</f>
        <v>53644.200000000004</v>
      </c>
      <c r="F362" s="21"/>
      <c r="G362" s="21">
        <v>4088.6</v>
      </c>
      <c r="H362" s="21">
        <f>3677+890.4</f>
        <v>4567.3999999999996</v>
      </c>
      <c r="I362" s="21">
        <f>3872-819.1+1189.6+682.5</f>
        <v>4925</v>
      </c>
      <c r="J362" s="21">
        <v>5143.3999999999996</v>
      </c>
      <c r="K362" s="21">
        <v>2642.5</v>
      </c>
      <c r="L362" s="21">
        <f>4939.7-62.7</f>
        <v>4877</v>
      </c>
      <c r="M362" s="21">
        <f>7977.9-676.7-603</f>
        <v>6698.2</v>
      </c>
      <c r="N362" s="21">
        <f>8280.1-500.5-158-2243.5</f>
        <v>5378.1</v>
      </c>
      <c r="O362" s="21">
        <v>4923.3999999999996</v>
      </c>
      <c r="P362" s="21">
        <v>5121.8</v>
      </c>
      <c r="Q362" s="21">
        <v>5278.8</v>
      </c>
      <c r="R362" s="38"/>
      <c r="S362" s="38"/>
      <c r="T362" s="2"/>
      <c r="U362" s="2"/>
    </row>
    <row r="363" spans="1:21" ht="32.9" customHeight="1" x14ac:dyDescent="0.25">
      <c r="A363" s="23"/>
      <c r="B363" s="284"/>
      <c r="C363" s="269"/>
      <c r="D363" s="19" t="s">
        <v>19</v>
      </c>
      <c r="E363" s="20">
        <f>SUM(F363:Q363)</f>
        <v>0</v>
      </c>
      <c r="F363" s="21">
        <v>0</v>
      </c>
      <c r="G363" s="21">
        <v>0</v>
      </c>
      <c r="H363" s="21">
        <v>0</v>
      </c>
      <c r="I363" s="21">
        <v>0</v>
      </c>
      <c r="J363" s="21">
        <v>0</v>
      </c>
      <c r="K363" s="21">
        <v>0</v>
      </c>
      <c r="L363" s="21">
        <v>0</v>
      </c>
      <c r="M363" s="21">
        <v>0</v>
      </c>
      <c r="N363" s="21">
        <v>0</v>
      </c>
      <c r="O363" s="21">
        <v>0</v>
      </c>
      <c r="P363" s="21">
        <v>0</v>
      </c>
      <c r="Q363" s="21">
        <v>0</v>
      </c>
      <c r="R363" s="38"/>
      <c r="S363" s="38"/>
      <c r="T363" s="2"/>
      <c r="U363" s="2"/>
    </row>
    <row r="364" spans="1:21" ht="36.65" customHeight="1" x14ac:dyDescent="0.25">
      <c r="A364" s="24"/>
      <c r="B364" s="110"/>
      <c r="C364" s="270"/>
      <c r="D364" s="19" t="s">
        <v>21</v>
      </c>
      <c r="E364" s="20">
        <f>SUM(F364:Q364)</f>
        <v>0</v>
      </c>
      <c r="F364" s="21"/>
      <c r="G364" s="21">
        <v>0</v>
      </c>
      <c r="H364" s="21">
        <v>0</v>
      </c>
      <c r="I364" s="21">
        <v>0</v>
      </c>
      <c r="J364" s="21">
        <v>0</v>
      </c>
      <c r="K364" s="21">
        <v>0</v>
      </c>
      <c r="L364" s="21">
        <v>0</v>
      </c>
      <c r="M364" s="21">
        <v>0</v>
      </c>
      <c r="N364" s="21">
        <v>0</v>
      </c>
      <c r="O364" s="21">
        <v>0</v>
      </c>
      <c r="P364" s="21">
        <v>0</v>
      </c>
      <c r="Q364" s="21">
        <v>0</v>
      </c>
      <c r="R364" s="38"/>
      <c r="S364" s="38"/>
      <c r="T364" s="2"/>
      <c r="U364" s="2"/>
    </row>
    <row r="365" spans="1:21" ht="33.75" customHeight="1" x14ac:dyDescent="0.25">
      <c r="A365" s="130" t="s">
        <v>82</v>
      </c>
      <c r="B365" s="344" t="s">
        <v>175</v>
      </c>
      <c r="C365" s="268" t="s">
        <v>80</v>
      </c>
      <c r="D365" s="19" t="s">
        <v>29</v>
      </c>
      <c r="E365" s="20">
        <f t="shared" ref="E365:E374" si="105">SUM(F365:Q365)</f>
        <v>2335.6000000000004</v>
      </c>
      <c r="F365" s="21">
        <f>SUM(F366:F368)</f>
        <v>0</v>
      </c>
      <c r="G365" s="21">
        <f t="shared" ref="G365:L365" si="106">SUM(G366:G368)</f>
        <v>274.10000000000002</v>
      </c>
      <c r="H365" s="21">
        <f t="shared" si="106"/>
        <v>120.30000000000001</v>
      </c>
      <c r="I365" s="21">
        <f t="shared" si="106"/>
        <v>263.10000000000002</v>
      </c>
      <c r="J365" s="21">
        <f t="shared" si="106"/>
        <v>69.7</v>
      </c>
      <c r="K365" s="21">
        <f t="shared" si="106"/>
        <v>265.8</v>
      </c>
      <c r="L365" s="21">
        <f t="shared" si="106"/>
        <v>255.09999999999997</v>
      </c>
      <c r="M365" s="21">
        <f>SUM(M366:M368)</f>
        <v>120.99999999999999</v>
      </c>
      <c r="N365" s="21">
        <f>SUM(N366:N368)</f>
        <v>155.50000000000003</v>
      </c>
      <c r="O365" s="21">
        <f>SUM(O366:O368)</f>
        <v>286.39999999999998</v>
      </c>
      <c r="P365" s="21">
        <f>SUM(P366:P368)</f>
        <v>299.8</v>
      </c>
      <c r="Q365" s="21">
        <f>SUM(Q366:Q368)</f>
        <v>224.8</v>
      </c>
      <c r="R365" s="38"/>
      <c r="S365" s="38"/>
      <c r="T365" s="2"/>
      <c r="U365" s="2"/>
    </row>
    <row r="366" spans="1:21" ht="33.75" customHeight="1" x14ac:dyDescent="0.25">
      <c r="A366" s="99"/>
      <c r="B366" s="284"/>
      <c r="C366" s="269"/>
      <c r="D366" s="19" t="s">
        <v>17</v>
      </c>
      <c r="E366" s="20">
        <f t="shared" si="105"/>
        <v>0</v>
      </c>
      <c r="F366" s="21">
        <v>0</v>
      </c>
      <c r="G366" s="21">
        <v>0</v>
      </c>
      <c r="H366" s="21">
        <v>0</v>
      </c>
      <c r="I366" s="21">
        <v>0</v>
      </c>
      <c r="J366" s="21">
        <v>0</v>
      </c>
      <c r="K366" s="21">
        <v>0</v>
      </c>
      <c r="L366" s="21">
        <v>0</v>
      </c>
      <c r="M366" s="21">
        <v>0</v>
      </c>
      <c r="N366" s="21">
        <v>0</v>
      </c>
      <c r="O366" s="21">
        <v>0</v>
      </c>
      <c r="P366" s="21">
        <v>0</v>
      </c>
      <c r="Q366" s="21">
        <v>0</v>
      </c>
      <c r="R366" s="38"/>
      <c r="S366" s="38"/>
      <c r="T366" s="2"/>
      <c r="U366" s="2"/>
    </row>
    <row r="367" spans="1:21" ht="34.85" customHeight="1" x14ac:dyDescent="0.25">
      <c r="A367" s="99"/>
      <c r="B367" s="284"/>
      <c r="C367" s="269"/>
      <c r="D367" s="19" t="s">
        <v>18</v>
      </c>
      <c r="E367" s="20">
        <f t="shared" si="105"/>
        <v>2335.6000000000004</v>
      </c>
      <c r="F367" s="21"/>
      <c r="G367" s="21">
        <f>1006.3+5.2-54.8-682.5-0.1</f>
        <v>274.10000000000002</v>
      </c>
      <c r="H367" s="21">
        <f>301.1-180.8</f>
        <v>120.30000000000001</v>
      </c>
      <c r="I367" s="21">
        <v>263.10000000000002</v>
      </c>
      <c r="J367" s="21">
        <v>69.7</v>
      </c>
      <c r="K367" s="21">
        <v>265.8</v>
      </c>
      <c r="L367" s="21">
        <f>318.4-63.3</f>
        <v>255.09999999999997</v>
      </c>
      <c r="M367" s="21">
        <f>264.9-100.1-43.8</f>
        <v>120.99999999999999</v>
      </c>
      <c r="N367" s="21">
        <f>343.6-188.1</f>
        <v>155.50000000000003</v>
      </c>
      <c r="O367" s="21">
        <v>286.39999999999998</v>
      </c>
      <c r="P367" s="21">
        <v>299.8</v>
      </c>
      <c r="Q367" s="21">
        <v>224.8</v>
      </c>
      <c r="R367" s="38"/>
      <c r="S367" s="38"/>
      <c r="T367" s="2"/>
      <c r="U367" s="2"/>
    </row>
    <row r="368" spans="1:21" ht="42.4" customHeight="1" x14ac:dyDescent="0.25">
      <c r="A368" s="217"/>
      <c r="B368" s="285"/>
      <c r="C368" s="269"/>
      <c r="D368" s="19" t="s">
        <v>19</v>
      </c>
      <c r="E368" s="20">
        <f t="shared" si="105"/>
        <v>0</v>
      </c>
      <c r="F368" s="21">
        <v>0</v>
      </c>
      <c r="G368" s="21">
        <v>0</v>
      </c>
      <c r="H368" s="21">
        <v>0</v>
      </c>
      <c r="I368" s="21">
        <v>0</v>
      </c>
      <c r="J368" s="21">
        <v>0</v>
      </c>
      <c r="K368" s="21">
        <v>0</v>
      </c>
      <c r="L368" s="21">
        <v>0</v>
      </c>
      <c r="M368" s="21">
        <v>0</v>
      </c>
      <c r="N368" s="21">
        <v>0</v>
      </c>
      <c r="O368" s="21">
        <v>0</v>
      </c>
      <c r="P368" s="21">
        <v>0</v>
      </c>
      <c r="Q368" s="21">
        <v>0</v>
      </c>
      <c r="R368" s="38"/>
      <c r="S368" s="38"/>
      <c r="T368" s="2"/>
      <c r="U368" s="2"/>
    </row>
    <row r="369" spans="1:21" ht="35.549999999999997" customHeight="1" x14ac:dyDescent="0.25">
      <c r="A369" s="23"/>
      <c r="B369" s="160"/>
      <c r="C369" s="270"/>
      <c r="D369" s="19" t="s">
        <v>21</v>
      </c>
      <c r="E369" s="20">
        <f t="shared" si="105"/>
        <v>0</v>
      </c>
      <c r="F369" s="21"/>
      <c r="G369" s="21">
        <v>0</v>
      </c>
      <c r="H369" s="21">
        <v>0</v>
      </c>
      <c r="I369" s="21">
        <v>0</v>
      </c>
      <c r="J369" s="21">
        <v>0</v>
      </c>
      <c r="K369" s="21">
        <v>0</v>
      </c>
      <c r="L369" s="21">
        <v>0</v>
      </c>
      <c r="M369" s="21">
        <v>0</v>
      </c>
      <c r="N369" s="21">
        <v>0</v>
      </c>
      <c r="O369" s="21">
        <v>0</v>
      </c>
      <c r="P369" s="21">
        <v>0</v>
      </c>
      <c r="Q369" s="21">
        <v>0</v>
      </c>
      <c r="R369" s="38"/>
      <c r="S369" s="38"/>
      <c r="T369" s="2"/>
      <c r="U369" s="2"/>
    </row>
    <row r="370" spans="1:21" ht="35.200000000000003" customHeight="1" x14ac:dyDescent="0.25">
      <c r="A370" s="228" t="s">
        <v>83</v>
      </c>
      <c r="B370" s="302" t="s">
        <v>176</v>
      </c>
      <c r="C370" s="268" t="s">
        <v>80</v>
      </c>
      <c r="D370" s="19" t="s">
        <v>29</v>
      </c>
      <c r="E370" s="20">
        <f t="shared" si="105"/>
        <v>568269.1</v>
      </c>
      <c r="F370" s="21">
        <f t="shared" ref="F370:L370" si="107">SUM(F371:F373)</f>
        <v>0</v>
      </c>
      <c r="G370" s="21">
        <f t="shared" si="107"/>
        <v>44786.8</v>
      </c>
      <c r="H370" s="21">
        <f t="shared" si="107"/>
        <v>47540.500000000007</v>
      </c>
      <c r="I370" s="21">
        <f t="shared" si="107"/>
        <v>48334.9</v>
      </c>
      <c r="J370" s="21">
        <f t="shared" si="107"/>
        <v>48995.7</v>
      </c>
      <c r="K370" s="21">
        <f t="shared" si="107"/>
        <v>51662.400000000001</v>
      </c>
      <c r="L370" s="21">
        <f t="shared" si="107"/>
        <v>53212.1</v>
      </c>
      <c r="M370" s="21">
        <f>SUM(M371:M373)</f>
        <v>51737.5</v>
      </c>
      <c r="N370" s="21">
        <f>SUM(N371:N373)</f>
        <v>50477.8</v>
      </c>
      <c r="O370" s="21">
        <f>SUM(O371:O373)</f>
        <v>52006.399999999994</v>
      </c>
      <c r="P370" s="21">
        <f>SUM(P371:P373)</f>
        <v>59757.5</v>
      </c>
      <c r="Q370" s="21">
        <f>SUM(Q371:Q373)</f>
        <v>59757.5</v>
      </c>
      <c r="R370" s="38"/>
      <c r="S370" s="38"/>
      <c r="T370" s="2"/>
      <c r="U370" s="2"/>
    </row>
    <row r="371" spans="1:21" ht="34.549999999999997" customHeight="1" x14ac:dyDescent="0.25">
      <c r="A371" s="171"/>
      <c r="B371" s="241"/>
      <c r="C371" s="291"/>
      <c r="D371" s="19" t="s">
        <v>17</v>
      </c>
      <c r="E371" s="20">
        <f t="shared" si="105"/>
        <v>0</v>
      </c>
      <c r="F371" s="21">
        <v>0</v>
      </c>
      <c r="G371" s="21">
        <v>0</v>
      </c>
      <c r="H371" s="21">
        <v>0</v>
      </c>
      <c r="I371" s="21">
        <v>0</v>
      </c>
      <c r="J371" s="21">
        <v>0</v>
      </c>
      <c r="K371" s="21">
        <v>0</v>
      </c>
      <c r="L371" s="21">
        <v>0</v>
      </c>
      <c r="M371" s="21">
        <v>0</v>
      </c>
      <c r="N371" s="21">
        <v>0</v>
      </c>
      <c r="O371" s="21">
        <v>0</v>
      </c>
      <c r="P371" s="21">
        <v>0</v>
      </c>
      <c r="Q371" s="21">
        <v>0</v>
      </c>
      <c r="R371" s="38"/>
      <c r="S371" s="38"/>
      <c r="T371" s="2"/>
      <c r="U371" s="2"/>
    </row>
    <row r="372" spans="1:21" ht="33.75" customHeight="1" x14ac:dyDescent="0.25">
      <c r="A372" s="171"/>
      <c r="B372" s="241"/>
      <c r="C372" s="291"/>
      <c r="D372" s="19" t="s">
        <v>18</v>
      </c>
      <c r="E372" s="20">
        <f t="shared" si="105"/>
        <v>568269.1</v>
      </c>
      <c r="F372" s="21"/>
      <c r="G372" s="21">
        <f>38536.8-1315.8+1315.8+5756.6+493.4</f>
        <v>44786.8</v>
      </c>
      <c r="H372" s="21">
        <f>38692.8+4276.3+4571.4</f>
        <v>47540.500000000007</v>
      </c>
      <c r="I372" s="21">
        <f>41238.4+7589.8+60.2-553.5</f>
        <v>48334.9</v>
      </c>
      <c r="J372" s="21">
        <v>48995.7</v>
      </c>
      <c r="K372" s="21">
        <v>51662.400000000001</v>
      </c>
      <c r="L372" s="21">
        <f>52922.2-34.9+411.8-87</f>
        <v>53212.1</v>
      </c>
      <c r="M372" s="21">
        <f>54511.2-2773.7</f>
        <v>51737.5</v>
      </c>
      <c r="N372" s="21">
        <f>55705.7-4686.7-126-415.2</f>
        <v>50477.8</v>
      </c>
      <c r="O372" s="172">
        <f>56952.7-4946.3</f>
        <v>52006.399999999994</v>
      </c>
      <c r="P372" s="21">
        <v>59757.5</v>
      </c>
      <c r="Q372" s="21">
        <v>59757.5</v>
      </c>
      <c r="R372" s="38"/>
      <c r="S372" s="38"/>
      <c r="T372" s="2"/>
      <c r="U372" s="2"/>
    </row>
    <row r="373" spans="1:21" ht="47.15" customHeight="1" x14ac:dyDescent="0.25">
      <c r="A373" s="171"/>
      <c r="B373" s="241"/>
      <c r="C373" s="291"/>
      <c r="D373" s="19" t="s">
        <v>19</v>
      </c>
      <c r="E373" s="20">
        <f t="shared" si="105"/>
        <v>0</v>
      </c>
      <c r="F373" s="21">
        <v>0</v>
      </c>
      <c r="G373" s="21">
        <v>0</v>
      </c>
      <c r="H373" s="21">
        <v>0</v>
      </c>
      <c r="I373" s="21">
        <v>0</v>
      </c>
      <c r="J373" s="21">
        <v>0</v>
      </c>
      <c r="K373" s="21">
        <v>0</v>
      </c>
      <c r="L373" s="21">
        <v>0</v>
      </c>
      <c r="M373" s="21">
        <v>0</v>
      </c>
      <c r="N373" s="21">
        <v>0</v>
      </c>
      <c r="O373" s="21">
        <v>0</v>
      </c>
      <c r="P373" s="21">
        <v>0</v>
      </c>
      <c r="Q373" s="21">
        <v>0</v>
      </c>
      <c r="R373" s="38"/>
      <c r="S373" s="38"/>
      <c r="T373" s="2"/>
      <c r="U373" s="2"/>
    </row>
    <row r="374" spans="1:21" ht="38.299999999999997" customHeight="1" x14ac:dyDescent="0.25">
      <c r="A374" s="24"/>
      <c r="B374" s="161"/>
      <c r="C374" s="292"/>
      <c r="D374" s="19" t="s">
        <v>21</v>
      </c>
      <c r="E374" s="20">
        <f t="shared" si="105"/>
        <v>0</v>
      </c>
      <c r="F374" s="21"/>
      <c r="G374" s="21">
        <v>0</v>
      </c>
      <c r="H374" s="21">
        <v>0</v>
      </c>
      <c r="I374" s="21">
        <v>0</v>
      </c>
      <c r="J374" s="21">
        <v>0</v>
      </c>
      <c r="K374" s="21">
        <v>0</v>
      </c>
      <c r="L374" s="21">
        <v>0</v>
      </c>
      <c r="M374" s="21">
        <v>0</v>
      </c>
      <c r="N374" s="21">
        <v>0</v>
      </c>
      <c r="O374" s="21">
        <v>0</v>
      </c>
      <c r="P374" s="21">
        <v>0</v>
      </c>
      <c r="Q374" s="21">
        <v>0</v>
      </c>
      <c r="R374" s="38"/>
      <c r="S374" s="38"/>
      <c r="T374" s="2"/>
      <c r="U374" s="2"/>
    </row>
    <row r="375" spans="1:21" ht="19.149999999999999" customHeight="1" x14ac:dyDescent="0.25">
      <c r="A375" s="339" t="s">
        <v>84</v>
      </c>
      <c r="B375" s="340" t="s">
        <v>85</v>
      </c>
      <c r="C375" s="55"/>
      <c r="D375" s="16" t="s">
        <v>4</v>
      </c>
      <c r="E375" s="17">
        <f>SUM(G375:Q375)</f>
        <v>133793.1</v>
      </c>
      <c r="F375" s="18"/>
      <c r="G375" s="18">
        <f t="shared" ref="G375:L375" si="108">G380+G385</f>
        <v>15010.3</v>
      </c>
      <c r="H375" s="18">
        <f t="shared" si="108"/>
        <v>13722.2</v>
      </c>
      <c r="I375" s="18">
        <f t="shared" si="108"/>
        <v>15178.4</v>
      </c>
      <c r="J375" s="18">
        <f>J380+J385</f>
        <v>16395</v>
      </c>
      <c r="K375" s="18">
        <f t="shared" si="108"/>
        <v>15875.9</v>
      </c>
      <c r="L375" s="18">
        <f t="shared" si="108"/>
        <v>1328.8</v>
      </c>
      <c r="M375" s="18">
        <f>M380+M385</f>
        <v>14108.5</v>
      </c>
      <c r="N375" s="18">
        <f>N380+N385</f>
        <v>8505.2999999999993</v>
      </c>
      <c r="O375" s="18">
        <f>O380+O385</f>
        <v>12499.300000000001</v>
      </c>
      <c r="P375" s="18">
        <f>P380+P385</f>
        <v>10593.6</v>
      </c>
      <c r="Q375" s="18">
        <f>Q380+Q385</f>
        <v>10575.800000000001</v>
      </c>
      <c r="R375" s="86"/>
      <c r="S375" s="86"/>
      <c r="T375" s="2"/>
      <c r="U375" s="2"/>
    </row>
    <row r="376" spans="1:21" ht="30.8" customHeight="1" x14ac:dyDescent="0.25">
      <c r="A376" s="287"/>
      <c r="B376" s="314"/>
      <c r="C376" s="56"/>
      <c r="D376" s="19" t="s">
        <v>17</v>
      </c>
      <c r="E376" s="20">
        <f t="shared" ref="E376:E385" si="109">SUM(F376:Q376)</f>
        <v>0</v>
      </c>
      <c r="F376" s="18"/>
      <c r="G376" s="21">
        <v>0</v>
      </c>
      <c r="H376" s="21">
        <v>0</v>
      </c>
      <c r="I376" s="21">
        <v>0</v>
      </c>
      <c r="J376" s="21">
        <v>0</v>
      </c>
      <c r="K376" s="21">
        <v>0</v>
      </c>
      <c r="L376" s="21">
        <v>0</v>
      </c>
      <c r="M376" s="21">
        <v>0</v>
      </c>
      <c r="N376" s="21">
        <v>0</v>
      </c>
      <c r="O376" s="21">
        <v>0</v>
      </c>
      <c r="P376" s="21">
        <v>0</v>
      </c>
      <c r="Q376" s="21">
        <v>0</v>
      </c>
      <c r="R376" s="38"/>
      <c r="S376" s="38"/>
      <c r="T376" s="2"/>
      <c r="U376" s="2"/>
    </row>
    <row r="377" spans="1:21" ht="28.15" customHeight="1" x14ac:dyDescent="0.25">
      <c r="A377" s="287"/>
      <c r="B377" s="314"/>
      <c r="C377" s="56"/>
      <c r="D377" s="19" t="s">
        <v>18</v>
      </c>
      <c r="E377" s="20">
        <f t="shared" si="109"/>
        <v>81510.299999999988</v>
      </c>
      <c r="F377" s="18"/>
      <c r="G377" s="21">
        <f t="shared" ref="G377:L378" si="110">G382+G387</f>
        <v>9447.2000000000007</v>
      </c>
      <c r="H377" s="21">
        <f t="shared" si="110"/>
        <v>6816.3</v>
      </c>
      <c r="I377" s="21">
        <f t="shared" si="110"/>
        <v>7103.6</v>
      </c>
      <c r="J377" s="21">
        <f t="shared" si="110"/>
        <v>7657</v>
      </c>
      <c r="K377" s="21">
        <f t="shared" si="110"/>
        <v>7381.7999999999993</v>
      </c>
      <c r="L377" s="21">
        <f>L382+L387</f>
        <v>0</v>
      </c>
      <c r="M377" s="21">
        <f>M382+M387</f>
        <v>6177.8</v>
      </c>
      <c r="N377" s="21">
        <f t="shared" ref="M377:Q378" si="111">N382+N387</f>
        <v>7337</v>
      </c>
      <c r="O377" s="21">
        <f t="shared" si="111"/>
        <v>10935.2</v>
      </c>
      <c r="P377" s="21">
        <f t="shared" si="111"/>
        <v>9330.9</v>
      </c>
      <c r="Q377" s="21">
        <f t="shared" si="111"/>
        <v>9323.5</v>
      </c>
      <c r="R377" s="38"/>
      <c r="S377" s="38"/>
      <c r="T377" s="2"/>
      <c r="U377" s="2"/>
    </row>
    <row r="378" spans="1:21" ht="34.85" customHeight="1" x14ac:dyDescent="0.25">
      <c r="A378" s="289"/>
      <c r="B378" s="284"/>
      <c r="C378" s="57"/>
      <c r="D378" s="19" t="s">
        <v>19</v>
      </c>
      <c r="E378" s="20">
        <f t="shared" si="109"/>
        <v>52282.8</v>
      </c>
      <c r="F378" s="18"/>
      <c r="G378" s="21">
        <f t="shared" si="110"/>
        <v>5563.1</v>
      </c>
      <c r="H378" s="21">
        <f t="shared" si="110"/>
        <v>6905.9</v>
      </c>
      <c r="I378" s="21">
        <f t="shared" si="110"/>
        <v>8074.8</v>
      </c>
      <c r="J378" s="21">
        <f t="shared" si="110"/>
        <v>8738</v>
      </c>
      <c r="K378" s="21">
        <f t="shared" si="110"/>
        <v>8494.1</v>
      </c>
      <c r="L378" s="21">
        <f t="shared" si="110"/>
        <v>1328.8</v>
      </c>
      <c r="M378" s="21">
        <f t="shared" si="111"/>
        <v>7930.7</v>
      </c>
      <c r="N378" s="21">
        <f t="shared" si="111"/>
        <v>1168.3</v>
      </c>
      <c r="O378" s="21">
        <f t="shared" si="111"/>
        <v>1564.1</v>
      </c>
      <c r="P378" s="21">
        <f t="shared" si="111"/>
        <v>1262.7</v>
      </c>
      <c r="Q378" s="21">
        <f t="shared" si="111"/>
        <v>1252.3000000000002</v>
      </c>
      <c r="R378" s="38"/>
      <c r="S378" s="38"/>
      <c r="T378" s="2"/>
      <c r="U378" s="2"/>
    </row>
    <row r="379" spans="1:21" ht="26.2" customHeight="1" x14ac:dyDescent="0.25">
      <c r="A379" s="289"/>
      <c r="B379" s="284"/>
      <c r="C379" s="57"/>
      <c r="D379" s="25" t="s">
        <v>21</v>
      </c>
      <c r="E379" s="20">
        <f t="shared" si="109"/>
        <v>0</v>
      </c>
      <c r="F379" s="43"/>
      <c r="G379" s="27">
        <f t="shared" ref="G379:L379" si="112">G384</f>
        <v>0</v>
      </c>
      <c r="H379" s="27">
        <f t="shared" si="112"/>
        <v>0</v>
      </c>
      <c r="I379" s="27">
        <f t="shared" si="112"/>
        <v>0</v>
      </c>
      <c r="J379" s="27">
        <f t="shared" si="112"/>
        <v>0</v>
      </c>
      <c r="K379" s="27">
        <f t="shared" si="112"/>
        <v>0</v>
      </c>
      <c r="L379" s="27">
        <f t="shared" si="112"/>
        <v>0</v>
      </c>
      <c r="M379" s="27">
        <f>M384</f>
        <v>0</v>
      </c>
      <c r="N379" s="27">
        <f>N384</f>
        <v>0</v>
      </c>
      <c r="O379" s="27">
        <f>O384</f>
        <v>0</v>
      </c>
      <c r="P379" s="27">
        <f>P384</f>
        <v>0</v>
      </c>
      <c r="Q379" s="27">
        <f>Q384</f>
        <v>0</v>
      </c>
      <c r="R379" s="38"/>
      <c r="S379" s="38"/>
      <c r="T379" s="2"/>
      <c r="U379" s="2"/>
    </row>
    <row r="380" spans="1:21" ht="34.549999999999997" customHeight="1" x14ac:dyDescent="0.25">
      <c r="A380" s="228" t="s">
        <v>86</v>
      </c>
      <c r="B380" s="276" t="s">
        <v>87</v>
      </c>
      <c r="C380" s="268" t="s">
        <v>80</v>
      </c>
      <c r="D380" s="19" t="s">
        <v>29</v>
      </c>
      <c r="E380" s="20">
        <f t="shared" si="109"/>
        <v>119763.1</v>
      </c>
      <c r="F380" s="21">
        <f t="shared" ref="F380:L380" si="113">SUM(F381:F383)</f>
        <v>0</v>
      </c>
      <c r="G380" s="21">
        <f t="shared" si="113"/>
        <v>12339.5</v>
      </c>
      <c r="H380" s="21">
        <f t="shared" si="113"/>
        <v>12722.2</v>
      </c>
      <c r="I380" s="21">
        <f t="shared" si="113"/>
        <v>14179.8</v>
      </c>
      <c r="J380" s="21">
        <f>SUM(J381:J383)</f>
        <v>15405.3</v>
      </c>
      <c r="K380" s="21">
        <f t="shared" si="113"/>
        <v>14727.199999999999</v>
      </c>
      <c r="L380" s="21">
        <f t="shared" si="113"/>
        <v>0</v>
      </c>
      <c r="M380" s="21">
        <f>SUM(M381:M383)</f>
        <v>11105.5</v>
      </c>
      <c r="N380" s="21">
        <f>SUM(N381:N383)</f>
        <v>7805.3</v>
      </c>
      <c r="O380" s="21">
        <f>SUM(O381:O383)</f>
        <v>11633.2</v>
      </c>
      <c r="P380" s="21">
        <f>SUM(P381:P383)</f>
        <v>9926.5</v>
      </c>
      <c r="Q380" s="21">
        <f>SUM(Q381:Q383)</f>
        <v>9918.6</v>
      </c>
      <c r="R380" s="38"/>
      <c r="S380" s="38"/>
      <c r="T380" s="2"/>
      <c r="U380" s="2"/>
    </row>
    <row r="381" spans="1:21" ht="24.05" customHeight="1" x14ac:dyDescent="0.25">
      <c r="A381" s="236"/>
      <c r="B381" s="352"/>
      <c r="C381" s="269"/>
      <c r="D381" s="19" t="s">
        <v>17</v>
      </c>
      <c r="E381" s="20">
        <f t="shared" si="109"/>
        <v>0</v>
      </c>
      <c r="F381" s="21">
        <v>0</v>
      </c>
      <c r="G381" s="21">
        <v>0</v>
      </c>
      <c r="H381" s="21">
        <v>0</v>
      </c>
      <c r="I381" s="21">
        <v>0</v>
      </c>
      <c r="J381" s="21">
        <v>0</v>
      </c>
      <c r="K381" s="21">
        <v>0</v>
      </c>
      <c r="L381" s="21">
        <v>0</v>
      </c>
      <c r="M381" s="21">
        <v>0</v>
      </c>
      <c r="N381" s="21">
        <v>0</v>
      </c>
      <c r="O381" s="21">
        <v>0</v>
      </c>
      <c r="P381" s="21">
        <v>0</v>
      </c>
      <c r="Q381" s="21">
        <v>0</v>
      </c>
      <c r="R381" s="38"/>
      <c r="S381" s="38"/>
      <c r="T381" s="2"/>
      <c r="U381" s="2"/>
    </row>
    <row r="382" spans="1:21" ht="29.65" customHeight="1" x14ac:dyDescent="0.25">
      <c r="A382" s="236"/>
      <c r="B382" s="352"/>
      <c r="C382" s="269"/>
      <c r="D382" s="19" t="s">
        <v>18</v>
      </c>
      <c r="E382" s="20">
        <f t="shared" si="109"/>
        <v>81510.299999999988</v>
      </c>
      <c r="F382" s="21">
        <v>0</v>
      </c>
      <c r="G382" s="21">
        <f>8723.6+723.6</f>
        <v>9447.2000000000007</v>
      </c>
      <c r="H382" s="21">
        <f>9667.5-2348.4-502.8</f>
        <v>6816.3</v>
      </c>
      <c r="I382" s="21">
        <f>4661.7+2441.9</f>
        <v>7103.6</v>
      </c>
      <c r="J382" s="21">
        <f>5314.1-2.3+2345.2</f>
        <v>7657</v>
      </c>
      <c r="K382" s="21">
        <f>6608.4-0.3+773.7</f>
        <v>7381.7999999999993</v>
      </c>
      <c r="L382" s="21">
        <f>7490.6-4159.7-3330.9</f>
        <v>0</v>
      </c>
      <c r="M382" s="21">
        <f>7055.3-491.5-386</f>
        <v>6177.8</v>
      </c>
      <c r="N382" s="21">
        <f>9063.6-1726.6</f>
        <v>7337</v>
      </c>
      <c r="O382" s="172">
        <f>6915.1+1869.7+2150.4</f>
        <v>10935.2</v>
      </c>
      <c r="P382" s="21">
        <v>9330.9</v>
      </c>
      <c r="Q382" s="21">
        <v>9323.5</v>
      </c>
      <c r="R382" s="38"/>
      <c r="S382" s="38"/>
      <c r="T382" s="2"/>
      <c r="U382" s="2"/>
    </row>
    <row r="383" spans="1:21" ht="26.85" customHeight="1" x14ac:dyDescent="0.25">
      <c r="A383" s="236"/>
      <c r="B383" s="352"/>
      <c r="C383" s="269"/>
      <c r="D383" s="19" t="s">
        <v>19</v>
      </c>
      <c r="E383" s="20">
        <f t="shared" si="109"/>
        <v>38252.799999999996</v>
      </c>
      <c r="F383" s="21"/>
      <c r="G383" s="21">
        <f>5413-2520.7</f>
        <v>2892.3</v>
      </c>
      <c r="H383" s="21">
        <f>5000+972.5-66.6</f>
        <v>5905.9</v>
      </c>
      <c r="I383" s="21">
        <f>6000+1055.8+20.4</f>
        <v>7076.2</v>
      </c>
      <c r="J383" s="21">
        <v>7748.3</v>
      </c>
      <c r="K383" s="21">
        <v>7345.4</v>
      </c>
      <c r="L383" s="21">
        <f>5526.8+478.1-6004.9</f>
        <v>0</v>
      </c>
      <c r="M383" s="21">
        <f>4983.7-31.4-24.6</f>
        <v>4927.7</v>
      </c>
      <c r="N383" s="21">
        <f>3169.6-2591.1-110.2</f>
        <v>468.3</v>
      </c>
      <c r="O383" s="172">
        <f>441.4+119.3+137.3</f>
        <v>698</v>
      </c>
      <c r="P383" s="21">
        <v>595.6</v>
      </c>
      <c r="Q383" s="21">
        <v>595.1</v>
      </c>
      <c r="R383" s="38"/>
      <c r="S383" s="38"/>
      <c r="T383" s="2"/>
      <c r="U383" s="2"/>
    </row>
    <row r="384" spans="1:21" ht="31.95" customHeight="1" x14ac:dyDescent="0.25">
      <c r="A384" s="237"/>
      <c r="B384" s="238"/>
      <c r="C384" s="270"/>
      <c r="D384" s="19" t="s">
        <v>21</v>
      </c>
      <c r="E384" s="20">
        <f t="shared" si="109"/>
        <v>0</v>
      </c>
      <c r="F384" s="21"/>
      <c r="G384" s="21">
        <v>0</v>
      </c>
      <c r="H384" s="21">
        <v>0</v>
      </c>
      <c r="I384" s="21">
        <v>0</v>
      </c>
      <c r="J384" s="21">
        <v>0</v>
      </c>
      <c r="K384" s="21">
        <v>0</v>
      </c>
      <c r="L384" s="21">
        <v>0</v>
      </c>
      <c r="M384" s="21">
        <v>0</v>
      </c>
      <c r="N384" s="21">
        <v>0</v>
      </c>
      <c r="O384" s="21">
        <v>0</v>
      </c>
      <c r="P384" s="21">
        <v>0</v>
      </c>
      <c r="Q384" s="21">
        <v>0</v>
      </c>
      <c r="R384" s="38"/>
      <c r="S384" s="38"/>
      <c r="T384" s="2"/>
      <c r="U384" s="2"/>
    </row>
    <row r="385" spans="1:21" ht="29.3" customHeight="1" x14ac:dyDescent="0.25">
      <c r="A385" s="205" t="s">
        <v>88</v>
      </c>
      <c r="B385" s="320" t="s">
        <v>89</v>
      </c>
      <c r="C385" s="268" t="s">
        <v>90</v>
      </c>
      <c r="D385" s="19" t="s">
        <v>29</v>
      </c>
      <c r="E385" s="20">
        <f t="shared" si="109"/>
        <v>14030.000000000002</v>
      </c>
      <c r="F385" s="21">
        <f t="shared" ref="F385:Q385" si="114">SUM(F386:F388)</f>
        <v>0</v>
      </c>
      <c r="G385" s="21">
        <f t="shared" si="114"/>
        <v>2670.8</v>
      </c>
      <c r="H385" s="21">
        <f t="shared" si="114"/>
        <v>1000</v>
      </c>
      <c r="I385" s="21">
        <f t="shared" si="114"/>
        <v>998.6</v>
      </c>
      <c r="J385" s="21">
        <f t="shared" si="114"/>
        <v>989.7</v>
      </c>
      <c r="K385" s="21">
        <f t="shared" si="114"/>
        <v>1148.7</v>
      </c>
      <c r="L385" s="21">
        <f t="shared" si="114"/>
        <v>1328.8</v>
      </c>
      <c r="M385" s="21">
        <f t="shared" si="114"/>
        <v>3003</v>
      </c>
      <c r="N385" s="21">
        <f t="shared" si="114"/>
        <v>700</v>
      </c>
      <c r="O385" s="21">
        <f t="shared" si="114"/>
        <v>866.1</v>
      </c>
      <c r="P385" s="21">
        <f t="shared" si="114"/>
        <v>667.1</v>
      </c>
      <c r="Q385" s="21">
        <f t="shared" si="114"/>
        <v>657.2</v>
      </c>
      <c r="R385" s="38"/>
      <c r="S385" s="38"/>
      <c r="T385" s="2"/>
      <c r="U385" s="2"/>
    </row>
    <row r="386" spans="1:21" ht="36.65" customHeight="1" x14ac:dyDescent="0.25">
      <c r="A386" s="204"/>
      <c r="B386" s="284"/>
      <c r="C386" s="269"/>
      <c r="D386" s="19" t="s">
        <v>17</v>
      </c>
      <c r="E386" s="20">
        <f>SUM(F386:Q386)</f>
        <v>0</v>
      </c>
      <c r="F386" s="21">
        <v>0</v>
      </c>
      <c r="G386" s="21">
        <v>0</v>
      </c>
      <c r="H386" s="21">
        <v>0</v>
      </c>
      <c r="I386" s="21">
        <v>0</v>
      </c>
      <c r="J386" s="21">
        <v>0</v>
      </c>
      <c r="K386" s="21">
        <v>0</v>
      </c>
      <c r="L386" s="21">
        <v>0</v>
      </c>
      <c r="M386" s="21">
        <v>0</v>
      </c>
      <c r="N386" s="21">
        <v>0</v>
      </c>
      <c r="O386" s="21">
        <v>0</v>
      </c>
      <c r="P386" s="21">
        <v>0</v>
      </c>
      <c r="Q386" s="21">
        <v>0</v>
      </c>
      <c r="R386" s="38"/>
      <c r="S386" s="38"/>
      <c r="T386" s="2"/>
      <c r="U386" s="2"/>
    </row>
    <row r="387" spans="1:21" ht="33.4" customHeight="1" x14ac:dyDescent="0.25">
      <c r="A387" s="204"/>
      <c r="B387" s="284"/>
      <c r="C387" s="269"/>
      <c r="D387" s="19" t="s">
        <v>18</v>
      </c>
      <c r="E387" s="20">
        <f>SUM(F387:Q387)</f>
        <v>0</v>
      </c>
      <c r="F387" s="21">
        <v>0</v>
      </c>
      <c r="G387" s="21">
        <v>0</v>
      </c>
      <c r="H387" s="21">
        <v>0</v>
      </c>
      <c r="I387" s="21">
        <v>0</v>
      </c>
      <c r="J387" s="21">
        <v>0</v>
      </c>
      <c r="K387" s="21">
        <v>0</v>
      </c>
      <c r="L387" s="21">
        <v>0</v>
      </c>
      <c r="M387" s="21">
        <v>0</v>
      </c>
      <c r="N387" s="21">
        <v>0</v>
      </c>
      <c r="O387" s="21">
        <v>0</v>
      </c>
      <c r="P387" s="21">
        <v>0</v>
      </c>
      <c r="Q387" s="21">
        <v>0</v>
      </c>
      <c r="R387" s="38"/>
      <c r="S387" s="38"/>
      <c r="T387" s="2"/>
      <c r="U387" s="2"/>
    </row>
    <row r="388" spans="1:21" ht="30.8" customHeight="1" x14ac:dyDescent="0.25">
      <c r="A388" s="204"/>
      <c r="B388" s="284"/>
      <c r="C388" s="269"/>
      <c r="D388" s="19" t="s">
        <v>19</v>
      </c>
      <c r="E388" s="20">
        <f>SUM(F388:Q388)</f>
        <v>14030.000000000002</v>
      </c>
      <c r="F388" s="21"/>
      <c r="G388" s="21">
        <f>2671.4-0.6</f>
        <v>2670.8</v>
      </c>
      <c r="H388" s="21">
        <v>1000</v>
      </c>
      <c r="I388" s="21">
        <f>1000-1.4</f>
        <v>998.6</v>
      </c>
      <c r="J388" s="21">
        <v>989.7</v>
      </c>
      <c r="K388" s="21">
        <v>1148.7</v>
      </c>
      <c r="L388" s="21">
        <f>2000-671.2</f>
        <v>1328.8</v>
      </c>
      <c r="M388" s="21">
        <f>1400-1400+3000+3</f>
        <v>3003</v>
      </c>
      <c r="N388" s="21">
        <f>1000-1000+700</f>
        <v>700</v>
      </c>
      <c r="O388" s="21">
        <f>566.1+300</f>
        <v>866.1</v>
      </c>
      <c r="P388" s="21">
        <v>667.1</v>
      </c>
      <c r="Q388" s="21">
        <v>657.2</v>
      </c>
      <c r="R388" s="38"/>
      <c r="S388" s="38"/>
      <c r="T388" s="2"/>
      <c r="U388" s="2"/>
    </row>
    <row r="389" spans="1:21" ht="34.200000000000003" customHeight="1" x14ac:dyDescent="0.25">
      <c r="A389" s="203"/>
      <c r="B389" s="285"/>
      <c r="C389" s="270"/>
      <c r="D389" s="19" t="s">
        <v>21</v>
      </c>
      <c r="E389" s="20">
        <f>SUM(F389:Q389)</f>
        <v>0</v>
      </c>
      <c r="F389" s="21"/>
      <c r="G389" s="21">
        <v>0</v>
      </c>
      <c r="H389" s="21">
        <v>0</v>
      </c>
      <c r="I389" s="21">
        <v>0</v>
      </c>
      <c r="J389" s="21">
        <v>0</v>
      </c>
      <c r="K389" s="21">
        <v>0</v>
      </c>
      <c r="L389" s="21">
        <v>0</v>
      </c>
      <c r="M389" s="21">
        <v>0</v>
      </c>
      <c r="N389" s="21">
        <v>0</v>
      </c>
      <c r="O389" s="21">
        <v>0</v>
      </c>
      <c r="P389" s="21">
        <v>0</v>
      </c>
      <c r="Q389" s="21">
        <v>0</v>
      </c>
      <c r="R389" s="38"/>
      <c r="S389" s="38"/>
      <c r="T389" s="2"/>
      <c r="U389" s="2"/>
    </row>
    <row r="390" spans="1:21" ht="15.05" hidden="1" customHeight="1" x14ac:dyDescent="0.25">
      <c r="A390" s="259" t="s">
        <v>91</v>
      </c>
      <c r="B390" s="342" t="s">
        <v>42</v>
      </c>
      <c r="C390" s="262" t="s">
        <v>90</v>
      </c>
      <c r="D390" s="19" t="s">
        <v>29</v>
      </c>
      <c r="E390" s="20">
        <f>SUM(F390:L390)</f>
        <v>0</v>
      </c>
      <c r="F390" s="21">
        <f>SUM(F391:F393)</f>
        <v>0</v>
      </c>
      <c r="G390" s="21">
        <f t="shared" ref="G390:L390" si="115">SUM(G391:G393)</f>
        <v>0</v>
      </c>
      <c r="H390" s="21">
        <f t="shared" si="115"/>
        <v>0</v>
      </c>
      <c r="I390" s="21">
        <f t="shared" si="115"/>
        <v>0</v>
      </c>
      <c r="J390" s="21">
        <f t="shared" si="115"/>
        <v>0</v>
      </c>
      <c r="K390" s="21">
        <f t="shared" si="115"/>
        <v>0</v>
      </c>
      <c r="L390" s="21">
        <f t="shared" si="115"/>
        <v>0</v>
      </c>
      <c r="M390" s="21">
        <f>SUM(M391:M393)</f>
        <v>0</v>
      </c>
      <c r="N390" s="21"/>
      <c r="O390" s="21"/>
      <c r="P390" s="21"/>
      <c r="Q390" s="21"/>
      <c r="R390" s="38"/>
      <c r="S390" s="38"/>
      <c r="T390" s="2"/>
      <c r="U390" s="2"/>
    </row>
    <row r="391" spans="1:21" ht="18" hidden="1" customHeight="1" x14ac:dyDescent="0.25">
      <c r="A391" s="259"/>
      <c r="B391" s="267"/>
      <c r="C391" s="263"/>
      <c r="D391" s="19" t="s">
        <v>17</v>
      </c>
      <c r="E391" s="20">
        <f>SUM(F391:L391)</f>
        <v>0</v>
      </c>
      <c r="F391" s="21">
        <v>0</v>
      </c>
      <c r="G391" s="21">
        <v>0</v>
      </c>
      <c r="H391" s="21">
        <v>0</v>
      </c>
      <c r="I391" s="21">
        <v>0</v>
      </c>
      <c r="J391" s="21">
        <v>0</v>
      </c>
      <c r="K391" s="21">
        <v>0</v>
      </c>
      <c r="L391" s="21">
        <v>0</v>
      </c>
      <c r="M391" s="21">
        <v>0</v>
      </c>
      <c r="N391" s="21"/>
      <c r="O391" s="21"/>
      <c r="P391" s="21"/>
      <c r="Q391" s="21"/>
      <c r="R391" s="38"/>
      <c r="S391" s="38"/>
      <c r="T391" s="2"/>
      <c r="U391" s="2"/>
    </row>
    <row r="392" spans="1:21" ht="26.2" hidden="1" customHeight="1" x14ac:dyDescent="0.25">
      <c r="A392" s="259"/>
      <c r="B392" s="267"/>
      <c r="C392" s="263"/>
      <c r="D392" s="19" t="s">
        <v>18</v>
      </c>
      <c r="E392" s="20">
        <f>SUM(F392:L392)</f>
        <v>0</v>
      </c>
      <c r="F392" s="21">
        <v>0</v>
      </c>
      <c r="G392" s="21">
        <v>0</v>
      </c>
      <c r="H392" s="21">
        <v>0</v>
      </c>
      <c r="I392" s="21">
        <v>0</v>
      </c>
      <c r="J392" s="21">
        <v>0</v>
      </c>
      <c r="K392" s="21">
        <v>0</v>
      </c>
      <c r="L392" s="21">
        <v>0</v>
      </c>
      <c r="M392" s="21">
        <v>0</v>
      </c>
      <c r="N392" s="21"/>
      <c r="O392" s="21"/>
      <c r="P392" s="21"/>
      <c r="Q392" s="21"/>
      <c r="R392" s="38"/>
      <c r="S392" s="38"/>
      <c r="T392" s="2"/>
      <c r="U392" s="2"/>
    </row>
    <row r="393" spans="1:21" ht="1.1499999999999999" hidden="1" customHeight="1" x14ac:dyDescent="0.25">
      <c r="A393" s="259"/>
      <c r="B393" s="267"/>
      <c r="C393" s="263"/>
      <c r="D393" s="19" t="s">
        <v>19</v>
      </c>
      <c r="E393" s="20">
        <f>SUM(F393:L393)</f>
        <v>0</v>
      </c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38"/>
      <c r="S393" s="38"/>
      <c r="T393" s="2"/>
      <c r="U393" s="2"/>
    </row>
    <row r="394" spans="1:21" ht="1.1499999999999999" hidden="1" customHeight="1" x14ac:dyDescent="0.25">
      <c r="A394" s="260"/>
      <c r="B394" s="267"/>
      <c r="C394" s="264"/>
      <c r="D394" s="19" t="s">
        <v>21</v>
      </c>
      <c r="E394" s="20">
        <f>SUM(F394:L394)</f>
        <v>0</v>
      </c>
      <c r="F394" s="21"/>
      <c r="G394" s="21">
        <v>0</v>
      </c>
      <c r="H394" s="21">
        <v>0</v>
      </c>
      <c r="I394" s="21">
        <v>0</v>
      </c>
      <c r="J394" s="21">
        <v>0</v>
      </c>
      <c r="K394" s="21">
        <v>0</v>
      </c>
      <c r="L394" s="21">
        <v>0</v>
      </c>
      <c r="M394" s="21">
        <v>0</v>
      </c>
      <c r="N394" s="21"/>
      <c r="O394" s="21"/>
      <c r="P394" s="21"/>
      <c r="Q394" s="21"/>
      <c r="R394" s="38"/>
      <c r="S394" s="38"/>
      <c r="T394" s="2"/>
      <c r="U394" s="2"/>
    </row>
    <row r="395" spans="1:21" ht="32.1" customHeight="1" x14ac:dyDescent="0.25">
      <c r="A395" s="348" t="s">
        <v>92</v>
      </c>
      <c r="B395" s="293" t="s">
        <v>93</v>
      </c>
      <c r="C395" s="58"/>
      <c r="D395" s="16" t="s">
        <v>4</v>
      </c>
      <c r="E395" s="17">
        <f>SUM(G395:Q395)</f>
        <v>5528</v>
      </c>
      <c r="F395" s="18"/>
      <c r="G395" s="18">
        <f t="shared" ref="G395:L395" si="116">G400</f>
        <v>0</v>
      </c>
      <c r="H395" s="18">
        <f t="shared" si="116"/>
        <v>0</v>
      </c>
      <c r="I395" s="18">
        <f t="shared" si="116"/>
        <v>0</v>
      </c>
      <c r="J395" s="18">
        <f t="shared" si="116"/>
        <v>0</v>
      </c>
      <c r="K395" s="18">
        <f t="shared" si="116"/>
        <v>537.79999999999995</v>
      </c>
      <c r="L395" s="18">
        <f t="shared" si="116"/>
        <v>252.70000000000002</v>
      </c>
      <c r="M395" s="18">
        <f>M400</f>
        <v>235.4</v>
      </c>
      <c r="N395" s="18">
        <f>N400</f>
        <v>1059.2000000000003</v>
      </c>
      <c r="O395" s="18">
        <f>O400</f>
        <v>1801.6</v>
      </c>
      <c r="P395" s="18">
        <f>P400</f>
        <v>826.8</v>
      </c>
      <c r="Q395" s="18">
        <f>Q400</f>
        <v>814.5</v>
      </c>
      <c r="R395" s="86"/>
      <c r="S395" s="86"/>
      <c r="T395" s="2"/>
      <c r="U395" s="2"/>
    </row>
    <row r="396" spans="1:21" ht="35.549999999999997" customHeight="1" x14ac:dyDescent="0.25">
      <c r="A396" s="339"/>
      <c r="B396" s="294"/>
      <c r="C396" s="44"/>
      <c r="D396" s="19" t="s">
        <v>17</v>
      </c>
      <c r="E396" s="20">
        <f>SUM(F396:Q396)</f>
        <v>0</v>
      </c>
      <c r="F396" s="18"/>
      <c r="G396" s="21">
        <v>0</v>
      </c>
      <c r="H396" s="21">
        <v>0</v>
      </c>
      <c r="I396" s="21">
        <v>0</v>
      </c>
      <c r="J396" s="21">
        <v>0</v>
      </c>
      <c r="K396" s="21">
        <v>0</v>
      </c>
      <c r="L396" s="21">
        <v>0</v>
      </c>
      <c r="M396" s="21">
        <v>0</v>
      </c>
      <c r="N396" s="21">
        <v>0</v>
      </c>
      <c r="O396" s="21">
        <v>0</v>
      </c>
      <c r="P396" s="21">
        <v>0</v>
      </c>
      <c r="Q396" s="21">
        <v>0</v>
      </c>
      <c r="R396" s="38"/>
      <c r="S396" s="38"/>
      <c r="T396" s="2"/>
      <c r="U396" s="2"/>
    </row>
    <row r="397" spans="1:21" ht="41.25" customHeight="1" x14ac:dyDescent="0.25">
      <c r="A397" s="339"/>
      <c r="B397" s="294"/>
      <c r="C397" s="44"/>
      <c r="D397" s="19" t="s">
        <v>18</v>
      </c>
      <c r="E397" s="26">
        <f>SUM(F397:M397)</f>
        <v>0</v>
      </c>
      <c r="F397" s="43"/>
      <c r="G397" s="27">
        <v>0</v>
      </c>
      <c r="H397" s="27">
        <v>0</v>
      </c>
      <c r="I397" s="27">
        <v>0</v>
      </c>
      <c r="J397" s="27">
        <v>0</v>
      </c>
      <c r="K397" s="27">
        <v>0</v>
      </c>
      <c r="L397" s="27">
        <v>0</v>
      </c>
      <c r="M397" s="27">
        <v>0</v>
      </c>
      <c r="N397" s="27">
        <v>0</v>
      </c>
      <c r="O397" s="27">
        <v>0</v>
      </c>
      <c r="P397" s="27">
        <v>0</v>
      </c>
      <c r="Q397" s="27">
        <v>0</v>
      </c>
      <c r="R397" s="38"/>
      <c r="S397" s="38"/>
      <c r="T397" s="2"/>
      <c r="U397" s="2"/>
    </row>
    <row r="398" spans="1:21" ht="32.1" customHeight="1" x14ac:dyDescent="0.25">
      <c r="A398" s="339"/>
      <c r="B398" s="294"/>
      <c r="C398" s="59"/>
      <c r="D398" s="19" t="s">
        <v>19</v>
      </c>
      <c r="E398" s="20">
        <f t="shared" ref="E398:E404" si="117">SUM(F398:Q398)</f>
        <v>5528</v>
      </c>
      <c r="F398" s="18"/>
      <c r="G398" s="21">
        <f t="shared" ref="G398:L398" si="118">G403</f>
        <v>0</v>
      </c>
      <c r="H398" s="21">
        <f t="shared" si="118"/>
        <v>0</v>
      </c>
      <c r="I398" s="21">
        <f t="shared" si="118"/>
        <v>0</v>
      </c>
      <c r="J398" s="21">
        <f t="shared" si="118"/>
        <v>0</v>
      </c>
      <c r="K398" s="21">
        <f t="shared" si="118"/>
        <v>537.79999999999995</v>
      </c>
      <c r="L398" s="21">
        <f t="shared" si="118"/>
        <v>252.70000000000002</v>
      </c>
      <c r="M398" s="21">
        <f>M403</f>
        <v>235.4</v>
      </c>
      <c r="N398" s="21">
        <f>N403</f>
        <v>1059.2000000000003</v>
      </c>
      <c r="O398" s="21">
        <f>O403</f>
        <v>1801.6</v>
      </c>
      <c r="P398" s="21">
        <f>P403</f>
        <v>826.8</v>
      </c>
      <c r="Q398" s="21">
        <f>Q403</f>
        <v>814.5</v>
      </c>
      <c r="R398" s="38"/>
      <c r="S398" s="38"/>
      <c r="T398" s="2"/>
      <c r="U398" s="2"/>
    </row>
    <row r="399" spans="1:21" ht="33.4" customHeight="1" x14ac:dyDescent="0.25">
      <c r="A399" s="349"/>
      <c r="B399" s="295"/>
      <c r="C399" s="44"/>
      <c r="D399" s="19" t="s">
        <v>21</v>
      </c>
      <c r="E399" s="26">
        <f t="shared" si="117"/>
        <v>0</v>
      </c>
      <c r="F399" s="43"/>
      <c r="G399" s="27">
        <v>0</v>
      </c>
      <c r="H399" s="27">
        <v>0</v>
      </c>
      <c r="I399" s="27">
        <v>0</v>
      </c>
      <c r="J399" s="27">
        <v>0</v>
      </c>
      <c r="K399" s="27">
        <v>0</v>
      </c>
      <c r="L399" s="27">
        <v>0</v>
      </c>
      <c r="M399" s="27">
        <v>0</v>
      </c>
      <c r="N399" s="27">
        <v>0</v>
      </c>
      <c r="O399" s="27">
        <v>0</v>
      </c>
      <c r="P399" s="27">
        <v>0</v>
      </c>
      <c r="Q399" s="27">
        <v>0</v>
      </c>
      <c r="R399" s="38"/>
      <c r="S399" s="38"/>
      <c r="T399" s="2"/>
      <c r="U399" s="2"/>
    </row>
    <row r="400" spans="1:21" ht="39.799999999999997" customHeight="1" x14ac:dyDescent="0.25">
      <c r="A400" s="206" t="s">
        <v>94</v>
      </c>
      <c r="B400" s="332" t="s">
        <v>95</v>
      </c>
      <c r="C400" s="262" t="s">
        <v>96</v>
      </c>
      <c r="D400" s="19" t="s">
        <v>29</v>
      </c>
      <c r="E400" s="20">
        <f t="shared" si="117"/>
        <v>5528</v>
      </c>
      <c r="F400" s="21">
        <f>SUM(F401:F403)</f>
        <v>0</v>
      </c>
      <c r="G400" s="21">
        <f t="shared" ref="G400:L400" si="119">SUM(G401:G403)</f>
        <v>0</v>
      </c>
      <c r="H400" s="21">
        <f t="shared" si="119"/>
        <v>0</v>
      </c>
      <c r="I400" s="21">
        <f t="shared" si="119"/>
        <v>0</v>
      </c>
      <c r="J400" s="21">
        <f t="shared" si="119"/>
        <v>0</v>
      </c>
      <c r="K400" s="21">
        <f t="shared" si="119"/>
        <v>537.79999999999995</v>
      </c>
      <c r="L400" s="21">
        <f t="shared" si="119"/>
        <v>252.70000000000002</v>
      </c>
      <c r="M400" s="21">
        <f>SUM(M401:M403)</f>
        <v>235.4</v>
      </c>
      <c r="N400" s="21">
        <f>SUM(N401:N403)</f>
        <v>1059.2000000000003</v>
      </c>
      <c r="O400" s="21">
        <f>SUM(O401:O403)</f>
        <v>1801.6</v>
      </c>
      <c r="P400" s="21">
        <f>SUM(P401:P403)</f>
        <v>826.8</v>
      </c>
      <c r="Q400" s="21">
        <f>SUM(Q401:Q403)</f>
        <v>814.5</v>
      </c>
      <c r="R400" s="38"/>
      <c r="S400" s="38"/>
      <c r="T400" s="2"/>
      <c r="U400" s="2"/>
    </row>
    <row r="401" spans="1:52" ht="38.15" customHeight="1" x14ac:dyDescent="0.25">
      <c r="A401" s="214"/>
      <c r="B401" s="284"/>
      <c r="C401" s="263"/>
      <c r="D401" s="19" t="s">
        <v>17</v>
      </c>
      <c r="E401" s="26">
        <f t="shared" si="117"/>
        <v>0</v>
      </c>
      <c r="F401" s="21">
        <v>0</v>
      </c>
      <c r="G401" s="21">
        <v>0</v>
      </c>
      <c r="H401" s="21">
        <v>0</v>
      </c>
      <c r="I401" s="21">
        <v>0</v>
      </c>
      <c r="J401" s="21">
        <v>0</v>
      </c>
      <c r="K401" s="21">
        <v>0</v>
      </c>
      <c r="L401" s="21">
        <v>0</v>
      </c>
      <c r="M401" s="21">
        <v>0</v>
      </c>
      <c r="N401" s="21">
        <v>0</v>
      </c>
      <c r="O401" s="21">
        <v>0</v>
      </c>
      <c r="P401" s="21">
        <v>0</v>
      </c>
      <c r="Q401" s="21">
        <v>0</v>
      </c>
      <c r="R401" s="38"/>
      <c r="S401" s="38"/>
      <c r="T401" s="2"/>
      <c r="U401" s="2"/>
    </row>
    <row r="402" spans="1:52" ht="32.1" customHeight="1" x14ac:dyDescent="0.25">
      <c r="A402" s="350"/>
      <c r="B402" s="284"/>
      <c r="C402" s="263"/>
      <c r="D402" s="19" t="s">
        <v>18</v>
      </c>
      <c r="E402" s="26">
        <f t="shared" si="117"/>
        <v>0</v>
      </c>
      <c r="F402" s="21">
        <v>0</v>
      </c>
      <c r="G402" s="21">
        <v>0</v>
      </c>
      <c r="H402" s="21">
        <v>0</v>
      </c>
      <c r="I402" s="21">
        <v>0</v>
      </c>
      <c r="J402" s="21">
        <v>0</v>
      </c>
      <c r="K402" s="21">
        <v>0</v>
      </c>
      <c r="L402" s="21">
        <v>0</v>
      </c>
      <c r="M402" s="21">
        <v>0</v>
      </c>
      <c r="N402" s="21">
        <v>0</v>
      </c>
      <c r="O402" s="21">
        <v>0</v>
      </c>
      <c r="P402" s="21">
        <v>0</v>
      </c>
      <c r="Q402" s="21">
        <v>0</v>
      </c>
      <c r="R402" s="38"/>
      <c r="S402" s="38"/>
      <c r="T402" s="2"/>
      <c r="U402" s="2"/>
    </row>
    <row r="403" spans="1:52" ht="32.1" customHeight="1" x14ac:dyDescent="0.25">
      <c r="A403" s="351"/>
      <c r="B403" s="285"/>
      <c r="C403" s="263"/>
      <c r="D403" s="19" t="s">
        <v>19</v>
      </c>
      <c r="E403" s="20">
        <f t="shared" si="117"/>
        <v>5528</v>
      </c>
      <c r="F403" s="21"/>
      <c r="G403" s="21">
        <v>0</v>
      </c>
      <c r="H403" s="21">
        <v>0</v>
      </c>
      <c r="I403" s="21">
        <v>0</v>
      </c>
      <c r="J403" s="21">
        <v>0</v>
      </c>
      <c r="K403" s="21">
        <v>537.79999999999995</v>
      </c>
      <c r="L403" s="21">
        <f>334.8+52.2-17-117.2-0.1</f>
        <v>252.70000000000002</v>
      </c>
      <c r="M403" s="21">
        <f>234.4-75.5+63.5+13</f>
        <v>235.4</v>
      </c>
      <c r="N403" s="21">
        <f>189.4+1050-180.1-0.1</f>
        <v>1059.2000000000003</v>
      </c>
      <c r="O403" s="21">
        <f>701.6+1100</f>
        <v>1801.6</v>
      </c>
      <c r="P403" s="21">
        <v>826.8</v>
      </c>
      <c r="Q403" s="21">
        <v>814.5</v>
      </c>
      <c r="R403" s="38"/>
      <c r="S403" s="38"/>
      <c r="T403" s="2"/>
      <c r="U403" s="2"/>
    </row>
    <row r="404" spans="1:52" ht="52.4" customHeight="1" x14ac:dyDescent="0.25">
      <c r="A404" s="133"/>
      <c r="B404" s="152"/>
      <c r="C404" s="264"/>
      <c r="D404" s="19" t="s">
        <v>21</v>
      </c>
      <c r="E404" s="26">
        <f t="shared" si="117"/>
        <v>0</v>
      </c>
      <c r="F404" s="21"/>
      <c r="G404" s="21">
        <v>0</v>
      </c>
      <c r="H404" s="21">
        <v>0</v>
      </c>
      <c r="I404" s="21">
        <v>0</v>
      </c>
      <c r="J404" s="21">
        <v>0</v>
      </c>
      <c r="K404" s="21">
        <v>0</v>
      </c>
      <c r="L404" s="21">
        <v>0</v>
      </c>
      <c r="M404" s="21">
        <v>0</v>
      </c>
      <c r="N404" s="21">
        <v>0</v>
      </c>
      <c r="O404" s="21">
        <v>0</v>
      </c>
      <c r="P404" s="21">
        <v>0</v>
      </c>
      <c r="Q404" s="21">
        <v>0</v>
      </c>
      <c r="R404" s="38"/>
      <c r="S404" s="38"/>
      <c r="T404" s="2"/>
      <c r="U404" s="2"/>
    </row>
    <row r="405" spans="1:52" ht="17.2" hidden="1" customHeight="1" x14ac:dyDescent="0.25">
      <c r="A405" s="271" t="s">
        <v>97</v>
      </c>
      <c r="B405" s="346" t="s">
        <v>98</v>
      </c>
      <c r="C405" s="60"/>
      <c r="D405" s="25" t="s">
        <v>4</v>
      </c>
      <c r="E405" s="26">
        <f t="shared" ref="E405:E414" si="120">SUM(F405:L405)</f>
        <v>0</v>
      </c>
      <c r="F405" s="21">
        <f>SUM(F406:F408)</f>
        <v>0</v>
      </c>
      <c r="G405" s="21">
        <f t="shared" ref="G405:L405" si="121">SUM(G406:G408)</f>
        <v>0</v>
      </c>
      <c r="H405" s="21">
        <f t="shared" si="121"/>
        <v>0</v>
      </c>
      <c r="I405" s="21">
        <f t="shared" si="121"/>
        <v>0</v>
      </c>
      <c r="J405" s="21">
        <f t="shared" si="121"/>
        <v>0</v>
      </c>
      <c r="K405" s="21">
        <f t="shared" si="121"/>
        <v>0</v>
      </c>
      <c r="L405" s="21">
        <f t="shared" si="121"/>
        <v>0</v>
      </c>
      <c r="M405" s="21">
        <f>SUM(M406:M408)</f>
        <v>0</v>
      </c>
      <c r="N405" s="21"/>
      <c r="O405" s="21"/>
      <c r="P405" s="21"/>
      <c r="Q405" s="21"/>
      <c r="R405" s="38"/>
      <c r="S405" s="38"/>
      <c r="T405" s="2"/>
      <c r="U405" s="2"/>
    </row>
    <row r="406" spans="1:52" ht="15.75" hidden="1" customHeight="1" x14ac:dyDescent="0.25">
      <c r="A406" s="345"/>
      <c r="B406" s="347"/>
      <c r="C406" s="61"/>
      <c r="D406" s="19" t="s">
        <v>45</v>
      </c>
      <c r="E406" s="20">
        <f t="shared" si="120"/>
        <v>0</v>
      </c>
      <c r="F406" s="21">
        <v>0</v>
      </c>
      <c r="G406" s="21">
        <v>0</v>
      </c>
      <c r="H406" s="21">
        <v>0</v>
      </c>
      <c r="I406" s="21">
        <v>0</v>
      </c>
      <c r="J406" s="21">
        <v>0</v>
      </c>
      <c r="K406" s="21">
        <v>0</v>
      </c>
      <c r="L406" s="21">
        <v>0</v>
      </c>
      <c r="M406" s="21">
        <v>0</v>
      </c>
      <c r="N406" s="21"/>
      <c r="O406" s="21"/>
      <c r="P406" s="21"/>
      <c r="Q406" s="21"/>
      <c r="R406" s="38"/>
      <c r="S406" s="38"/>
      <c r="T406" s="2"/>
      <c r="U406" s="2"/>
    </row>
    <row r="407" spans="1:52" ht="15.75" hidden="1" customHeight="1" x14ac:dyDescent="0.25">
      <c r="A407" s="345"/>
      <c r="B407" s="347"/>
      <c r="C407" s="61"/>
      <c r="D407" s="19" t="s">
        <v>46</v>
      </c>
      <c r="E407" s="20">
        <f t="shared" si="120"/>
        <v>0</v>
      </c>
      <c r="F407" s="21">
        <v>0</v>
      </c>
      <c r="G407" s="21">
        <v>0</v>
      </c>
      <c r="H407" s="21">
        <v>0</v>
      </c>
      <c r="I407" s="21">
        <v>0</v>
      </c>
      <c r="J407" s="21">
        <v>0</v>
      </c>
      <c r="K407" s="21">
        <v>0</v>
      </c>
      <c r="L407" s="21">
        <v>0</v>
      </c>
      <c r="M407" s="21">
        <v>0</v>
      </c>
      <c r="N407" s="21"/>
      <c r="O407" s="21"/>
      <c r="P407" s="21"/>
      <c r="Q407" s="21"/>
      <c r="R407" s="38"/>
      <c r="S407" s="38"/>
      <c r="T407" s="2"/>
      <c r="U407" s="2"/>
    </row>
    <row r="408" spans="1:52" ht="15.75" hidden="1" customHeight="1" x14ac:dyDescent="0.25">
      <c r="A408" s="345"/>
      <c r="B408" s="347"/>
      <c r="C408" s="61"/>
      <c r="D408" s="19" t="s">
        <v>47</v>
      </c>
      <c r="E408" s="20">
        <f t="shared" si="120"/>
        <v>0</v>
      </c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38"/>
      <c r="S408" s="38"/>
      <c r="T408" s="2"/>
      <c r="U408" s="2"/>
    </row>
    <row r="409" spans="1:52" ht="34.549999999999997" hidden="1" customHeight="1" x14ac:dyDescent="0.25">
      <c r="A409" s="119"/>
      <c r="B409" s="120"/>
      <c r="C409" s="61"/>
      <c r="D409" s="19" t="s">
        <v>48</v>
      </c>
      <c r="E409" s="20">
        <f t="shared" si="120"/>
        <v>0</v>
      </c>
      <c r="F409" s="21"/>
      <c r="G409" s="21">
        <v>0</v>
      </c>
      <c r="H409" s="21">
        <v>0</v>
      </c>
      <c r="I409" s="21">
        <v>0</v>
      </c>
      <c r="J409" s="21">
        <v>0</v>
      </c>
      <c r="K409" s="21">
        <v>0</v>
      </c>
      <c r="L409" s="21">
        <v>0</v>
      </c>
      <c r="M409" s="21">
        <v>0</v>
      </c>
      <c r="N409" s="21"/>
      <c r="O409" s="21"/>
      <c r="P409" s="21"/>
      <c r="Q409" s="21"/>
      <c r="R409" s="38"/>
      <c r="S409" s="38"/>
      <c r="T409" s="2"/>
      <c r="U409" s="2"/>
    </row>
    <row r="410" spans="1:52" ht="19.149999999999999" hidden="1" customHeight="1" x14ac:dyDescent="0.25">
      <c r="A410" s="265" t="s">
        <v>99</v>
      </c>
      <c r="B410" s="313" t="s">
        <v>63</v>
      </c>
      <c r="C410" s="262" t="s">
        <v>100</v>
      </c>
      <c r="D410" s="19" t="s">
        <v>29</v>
      </c>
      <c r="E410" s="20">
        <f t="shared" si="120"/>
        <v>0</v>
      </c>
      <c r="F410" s="21">
        <f>SUM(F411:F413)</f>
        <v>0</v>
      </c>
      <c r="G410" s="21">
        <f t="shared" ref="G410:L410" si="122">SUM(G411:G413)</f>
        <v>0</v>
      </c>
      <c r="H410" s="21">
        <f t="shared" si="122"/>
        <v>0</v>
      </c>
      <c r="I410" s="21">
        <f t="shared" si="122"/>
        <v>0</v>
      </c>
      <c r="J410" s="21">
        <f t="shared" si="122"/>
        <v>0</v>
      </c>
      <c r="K410" s="21">
        <f t="shared" si="122"/>
        <v>0</v>
      </c>
      <c r="L410" s="21">
        <f t="shared" si="122"/>
        <v>0</v>
      </c>
      <c r="M410" s="21">
        <f>SUM(M411:M413)</f>
        <v>0</v>
      </c>
      <c r="N410" s="21"/>
      <c r="O410" s="21"/>
      <c r="P410" s="21"/>
      <c r="Q410" s="21"/>
      <c r="R410" s="38"/>
      <c r="S410" s="38"/>
      <c r="T410" s="2"/>
      <c r="U410" s="2"/>
    </row>
    <row r="411" spans="1:52" ht="15.75" hidden="1" customHeight="1" x14ac:dyDescent="0.25">
      <c r="A411" s="259"/>
      <c r="B411" s="261"/>
      <c r="C411" s="263"/>
      <c r="D411" s="19" t="s">
        <v>17</v>
      </c>
      <c r="E411" s="20">
        <f t="shared" si="120"/>
        <v>0</v>
      </c>
      <c r="F411" s="21">
        <v>0</v>
      </c>
      <c r="G411" s="21">
        <v>0</v>
      </c>
      <c r="H411" s="21">
        <v>0</v>
      </c>
      <c r="I411" s="21">
        <v>0</v>
      </c>
      <c r="J411" s="21">
        <v>0</v>
      </c>
      <c r="K411" s="21">
        <v>0</v>
      </c>
      <c r="L411" s="21">
        <v>0</v>
      </c>
      <c r="M411" s="21">
        <v>0</v>
      </c>
      <c r="N411" s="21"/>
      <c r="O411" s="21"/>
      <c r="P411" s="21"/>
      <c r="Q411" s="21"/>
      <c r="R411" s="38"/>
      <c r="S411" s="38"/>
      <c r="T411" s="2"/>
      <c r="U411" s="2"/>
    </row>
    <row r="412" spans="1:52" ht="15.75" hidden="1" customHeight="1" x14ac:dyDescent="0.25">
      <c r="A412" s="259"/>
      <c r="B412" s="261"/>
      <c r="C412" s="263"/>
      <c r="D412" s="19" t="s">
        <v>18</v>
      </c>
      <c r="E412" s="20">
        <f t="shared" si="120"/>
        <v>0</v>
      </c>
      <c r="F412" s="21">
        <v>0</v>
      </c>
      <c r="G412" s="21">
        <v>0</v>
      </c>
      <c r="H412" s="21">
        <v>0</v>
      </c>
      <c r="I412" s="21">
        <v>0</v>
      </c>
      <c r="J412" s="21">
        <v>0</v>
      </c>
      <c r="K412" s="21">
        <v>0</v>
      </c>
      <c r="L412" s="21">
        <v>0</v>
      </c>
      <c r="M412" s="21">
        <v>0</v>
      </c>
      <c r="N412" s="21"/>
      <c r="O412" s="21"/>
      <c r="P412" s="21"/>
      <c r="Q412" s="21"/>
      <c r="R412" s="38"/>
      <c r="S412" s="38"/>
      <c r="T412" s="2"/>
      <c r="U412" s="2"/>
    </row>
    <row r="413" spans="1:52" ht="15.75" hidden="1" customHeight="1" x14ac:dyDescent="0.25">
      <c r="A413" s="259"/>
      <c r="B413" s="261"/>
      <c r="C413" s="263"/>
      <c r="D413" s="19" t="s">
        <v>19</v>
      </c>
      <c r="E413" s="20">
        <f t="shared" si="120"/>
        <v>0</v>
      </c>
      <c r="F413" s="21">
        <v>0</v>
      </c>
      <c r="G413" s="21">
        <v>0</v>
      </c>
      <c r="H413" s="21">
        <v>0</v>
      </c>
      <c r="I413" s="21">
        <v>0</v>
      </c>
      <c r="J413" s="21"/>
      <c r="K413" s="21">
        <v>0</v>
      </c>
      <c r="L413" s="21">
        <v>0</v>
      </c>
      <c r="M413" s="21">
        <v>0</v>
      </c>
      <c r="N413" s="21"/>
      <c r="O413" s="21"/>
      <c r="P413" s="21"/>
      <c r="Q413" s="21"/>
      <c r="R413" s="38"/>
      <c r="S413" s="38"/>
      <c r="T413" s="2"/>
      <c r="U413" s="2"/>
    </row>
    <row r="414" spans="1:52" ht="7.55" hidden="1" customHeight="1" x14ac:dyDescent="0.25">
      <c r="A414" s="260"/>
      <c r="B414" s="261"/>
      <c r="C414" s="264"/>
      <c r="D414" s="19" t="s">
        <v>21</v>
      </c>
      <c r="E414" s="20">
        <f t="shared" si="120"/>
        <v>0</v>
      </c>
      <c r="F414" s="21"/>
      <c r="G414" s="21">
        <v>0</v>
      </c>
      <c r="H414" s="21">
        <v>0</v>
      </c>
      <c r="I414" s="21">
        <v>0</v>
      </c>
      <c r="J414" s="21">
        <v>0</v>
      </c>
      <c r="K414" s="21">
        <v>0</v>
      </c>
      <c r="L414" s="21">
        <v>0</v>
      </c>
      <c r="M414" s="21">
        <v>0</v>
      </c>
      <c r="N414" s="21"/>
      <c r="O414" s="21"/>
      <c r="P414" s="21"/>
      <c r="Q414" s="21"/>
      <c r="R414" s="38"/>
      <c r="S414" s="38"/>
      <c r="T414" s="2"/>
      <c r="U414" s="2"/>
    </row>
    <row r="415" spans="1:52" ht="41.25" customHeight="1" x14ac:dyDescent="0.25">
      <c r="A415" s="146" t="s">
        <v>101</v>
      </c>
      <c r="B415" s="240" t="s">
        <v>152</v>
      </c>
      <c r="C415" s="341" t="s">
        <v>102</v>
      </c>
      <c r="D415" s="16" t="s">
        <v>4</v>
      </c>
      <c r="E415" s="62">
        <f>SUM(G415:Q415)</f>
        <v>1117088.2</v>
      </c>
      <c r="F415" s="18">
        <f>SUM(F416:F418)</f>
        <v>0</v>
      </c>
      <c r="G415" s="18">
        <f t="shared" ref="G415:L415" si="123">SUM(G416:G418)</f>
        <v>62723.8</v>
      </c>
      <c r="H415" s="18">
        <f t="shared" si="123"/>
        <v>67226.7</v>
      </c>
      <c r="I415" s="18">
        <f t="shared" si="123"/>
        <v>68559.900000000009</v>
      </c>
      <c r="J415" s="18">
        <f t="shared" si="123"/>
        <v>71412.5</v>
      </c>
      <c r="K415" s="18">
        <f t="shared" si="123"/>
        <v>82842.099999999991</v>
      </c>
      <c r="L415" s="18">
        <f t="shared" si="123"/>
        <v>100753.7</v>
      </c>
      <c r="M415" s="18">
        <f>M416+M417+M418+M420</f>
        <v>114579.30000000002</v>
      </c>
      <c r="N415" s="18">
        <f>SUM(N416:N418)</f>
        <v>119499.09999999999</v>
      </c>
      <c r="O415" s="18">
        <f>SUM(O416:O418)</f>
        <v>137316.4</v>
      </c>
      <c r="P415" s="18">
        <f>SUM(P416:P418)</f>
        <v>142480.9</v>
      </c>
      <c r="Q415" s="18">
        <f>SUM(Q416:Q418)</f>
        <v>149693.79999999999</v>
      </c>
      <c r="R415" s="86"/>
      <c r="S415" s="86"/>
      <c r="T415" s="2"/>
      <c r="U415" s="2"/>
      <c r="AZ415" s="2"/>
    </row>
    <row r="416" spans="1:52" ht="33.4" customHeight="1" x14ac:dyDescent="0.25">
      <c r="A416" s="145"/>
      <c r="B416" s="241"/>
      <c r="C416" s="269"/>
      <c r="D416" s="19" t="s">
        <v>17</v>
      </c>
      <c r="E416" s="22">
        <f>SUM(F416:Q416)</f>
        <v>0</v>
      </c>
      <c r="F416" s="21">
        <f>F458</f>
        <v>0</v>
      </c>
      <c r="G416" s="21">
        <f t="shared" ref="G416:Q417" si="124">G458</f>
        <v>0</v>
      </c>
      <c r="H416" s="21">
        <f t="shared" si="124"/>
        <v>0</v>
      </c>
      <c r="I416" s="21">
        <f t="shared" si="124"/>
        <v>0</v>
      </c>
      <c r="J416" s="21">
        <f t="shared" si="124"/>
        <v>0</v>
      </c>
      <c r="K416" s="21">
        <f t="shared" si="124"/>
        <v>0</v>
      </c>
      <c r="L416" s="21">
        <f t="shared" si="124"/>
        <v>0</v>
      </c>
      <c r="M416" s="21">
        <f t="shared" si="124"/>
        <v>0</v>
      </c>
      <c r="N416" s="21">
        <f t="shared" si="124"/>
        <v>0</v>
      </c>
      <c r="O416" s="21">
        <f t="shared" si="124"/>
        <v>0</v>
      </c>
      <c r="P416" s="21">
        <f t="shared" si="124"/>
        <v>0</v>
      </c>
      <c r="Q416" s="21">
        <f t="shared" si="124"/>
        <v>0</v>
      </c>
      <c r="R416" s="38"/>
      <c r="S416" s="38"/>
      <c r="T416" s="2"/>
      <c r="U416" s="2"/>
    </row>
    <row r="417" spans="1:52" ht="38.15" customHeight="1" x14ac:dyDescent="0.25">
      <c r="A417" s="145"/>
      <c r="B417" s="241"/>
      <c r="C417" s="269"/>
      <c r="D417" s="19" t="s">
        <v>18</v>
      </c>
      <c r="E417" s="22">
        <f>SUM(F417:Q417)</f>
        <v>0</v>
      </c>
      <c r="F417" s="21">
        <f>F459</f>
        <v>0</v>
      </c>
      <c r="G417" s="21">
        <f t="shared" si="124"/>
        <v>0</v>
      </c>
      <c r="H417" s="21">
        <f t="shared" si="124"/>
        <v>0</v>
      </c>
      <c r="I417" s="21">
        <f t="shared" si="124"/>
        <v>0</v>
      </c>
      <c r="J417" s="21">
        <f t="shared" si="124"/>
        <v>0</v>
      </c>
      <c r="K417" s="21">
        <f t="shared" si="124"/>
        <v>0</v>
      </c>
      <c r="L417" s="21">
        <f t="shared" si="124"/>
        <v>0</v>
      </c>
      <c r="M417" s="21">
        <f t="shared" si="124"/>
        <v>0</v>
      </c>
      <c r="N417" s="21">
        <f t="shared" si="124"/>
        <v>0</v>
      </c>
      <c r="O417" s="21">
        <f t="shared" si="124"/>
        <v>0</v>
      </c>
      <c r="P417" s="21">
        <f t="shared" si="124"/>
        <v>0</v>
      </c>
      <c r="Q417" s="21">
        <f t="shared" si="124"/>
        <v>0</v>
      </c>
      <c r="R417" s="38"/>
      <c r="S417" s="38"/>
      <c r="T417" s="2"/>
      <c r="U417" s="2"/>
    </row>
    <row r="418" spans="1:52" ht="38.799999999999997" customHeight="1" x14ac:dyDescent="0.25">
      <c r="A418" s="145"/>
      <c r="B418" s="241"/>
      <c r="C418" s="269"/>
      <c r="D418" s="19" t="s">
        <v>19</v>
      </c>
      <c r="E418" s="22">
        <f>SUM(F418:Q418)</f>
        <v>1117088.2</v>
      </c>
      <c r="F418" s="21">
        <f>F427+F434+F440+F460+F462</f>
        <v>0</v>
      </c>
      <c r="G418" s="21">
        <f>G427+G434+G440+G460+G465</f>
        <v>62723.8</v>
      </c>
      <c r="H418" s="21">
        <f>H427+H434+H440+H460+H465</f>
        <v>67226.7</v>
      </c>
      <c r="I418" s="21">
        <f>I427+I434+I440+I460+I465</f>
        <v>68559.900000000009</v>
      </c>
      <c r="J418" s="21">
        <f>J430+J437+J460+J465</f>
        <v>71412.5</v>
      </c>
      <c r="K418" s="21">
        <f>K430+K437+K460+K465</f>
        <v>82842.099999999991</v>
      </c>
      <c r="L418" s="21">
        <f>L430+L437+L460+L465</f>
        <v>100753.7</v>
      </c>
      <c r="M418" s="21">
        <f>M430+M437+M460+M465+M470</f>
        <v>114579.30000000002</v>
      </c>
      <c r="N418" s="21">
        <f>N430+N437+N460+N465+N470</f>
        <v>119499.09999999999</v>
      </c>
      <c r="O418" s="21">
        <f>O430+O437+O460+O465+O470</f>
        <v>137316.4</v>
      </c>
      <c r="P418" s="21">
        <f>P430+P437+P460+P465+P470</f>
        <v>142480.9</v>
      </c>
      <c r="Q418" s="21">
        <f>Q430+Q437+Q460+Q465+Q470</f>
        <v>149693.79999999999</v>
      </c>
      <c r="R418" s="38"/>
      <c r="S418" s="38"/>
      <c r="T418" s="2"/>
      <c r="U418" s="2"/>
      <c r="AZ418" s="2"/>
    </row>
    <row r="419" spans="1:52" ht="64.150000000000006" customHeight="1" x14ac:dyDescent="0.25">
      <c r="A419" s="145"/>
      <c r="B419" s="155"/>
      <c r="C419" s="269"/>
      <c r="D419" s="19" t="s">
        <v>20</v>
      </c>
      <c r="E419" s="22">
        <f>SUM(F419:Q419)</f>
        <v>38.599999999999994</v>
      </c>
      <c r="F419" s="21"/>
      <c r="G419" s="21">
        <f>G431+G438</f>
        <v>38.599999999999994</v>
      </c>
      <c r="H419" s="21">
        <v>0</v>
      </c>
      <c r="I419" s="21">
        <v>0</v>
      </c>
      <c r="J419" s="21">
        <v>0</v>
      </c>
      <c r="K419" s="21">
        <v>0</v>
      </c>
      <c r="L419" s="21">
        <v>0</v>
      </c>
      <c r="M419" s="21">
        <v>0</v>
      </c>
      <c r="N419" s="21">
        <v>0</v>
      </c>
      <c r="O419" s="21">
        <v>0</v>
      </c>
      <c r="P419" s="21">
        <v>0</v>
      </c>
      <c r="Q419" s="21">
        <v>0</v>
      </c>
      <c r="R419" s="38"/>
      <c r="S419" s="38"/>
      <c r="T419" s="2"/>
      <c r="U419" s="2"/>
    </row>
    <row r="420" spans="1:52" ht="36" customHeight="1" x14ac:dyDescent="0.25">
      <c r="A420" s="153"/>
      <c r="B420" s="156"/>
      <c r="C420" s="270"/>
      <c r="D420" s="19" t="s">
        <v>21</v>
      </c>
      <c r="E420" s="22">
        <f>SUM(F420:Q420)</f>
        <v>0</v>
      </c>
      <c r="F420" s="21"/>
      <c r="G420" s="21">
        <f t="shared" ref="G420:L420" si="125">G432+G439+G444+G461+G466</f>
        <v>0</v>
      </c>
      <c r="H420" s="21">
        <f t="shared" si="125"/>
        <v>0</v>
      </c>
      <c r="I420" s="21">
        <f t="shared" si="125"/>
        <v>0</v>
      </c>
      <c r="J420" s="21">
        <f t="shared" si="125"/>
        <v>0</v>
      </c>
      <c r="K420" s="21">
        <f t="shared" si="125"/>
        <v>0</v>
      </c>
      <c r="L420" s="21">
        <f t="shared" si="125"/>
        <v>0</v>
      </c>
      <c r="M420" s="21">
        <f>M432+M439+M444+M461+M466</f>
        <v>0</v>
      </c>
      <c r="N420" s="21">
        <f>N432+N439+N444+N461+N466</f>
        <v>0</v>
      </c>
      <c r="O420" s="21">
        <f>O432+O439+O444+O461+O466</f>
        <v>0</v>
      </c>
      <c r="P420" s="21">
        <f>P432+P439+P444+P461+P466</f>
        <v>0</v>
      </c>
      <c r="Q420" s="21">
        <f>Q432+Q439+Q444+Q461+Q466</f>
        <v>0</v>
      </c>
      <c r="R420" s="38"/>
      <c r="S420" s="38"/>
      <c r="T420" s="2"/>
      <c r="U420" s="2"/>
    </row>
    <row r="421" spans="1:52" ht="30.8" customHeight="1" x14ac:dyDescent="0.25">
      <c r="A421" s="121" t="s">
        <v>103</v>
      </c>
      <c r="B421" s="63" t="s">
        <v>104</v>
      </c>
      <c r="C421" s="58"/>
      <c r="D421" s="16" t="s">
        <v>4</v>
      </c>
      <c r="E421" s="17">
        <f>SUM(G421:Q421)</f>
        <v>1074175.3999999999</v>
      </c>
      <c r="F421" s="18"/>
      <c r="G421" s="18">
        <f t="shared" ref="G421:L421" si="126">G427+G434</f>
        <v>62723.8</v>
      </c>
      <c r="H421" s="18">
        <f t="shared" si="126"/>
        <v>64890.400000000001</v>
      </c>
      <c r="I421" s="18">
        <f t="shared" si="126"/>
        <v>66924.600000000006</v>
      </c>
      <c r="J421" s="18">
        <f t="shared" si="126"/>
        <v>69411.899999999994</v>
      </c>
      <c r="K421" s="18">
        <f t="shared" si="126"/>
        <v>80351.399999999994</v>
      </c>
      <c r="L421" s="18">
        <f t="shared" si="126"/>
        <v>97487</v>
      </c>
      <c r="M421" s="18">
        <f>M427+M434</f>
        <v>110843.1</v>
      </c>
      <c r="N421" s="18">
        <f>N427+N434</f>
        <v>113815.09999999999</v>
      </c>
      <c r="O421" s="18">
        <f>O427+O434</f>
        <v>129793.1</v>
      </c>
      <c r="P421" s="18">
        <f>P427+P434</f>
        <v>135351</v>
      </c>
      <c r="Q421" s="18">
        <f>Q427+Q434</f>
        <v>142584</v>
      </c>
      <c r="R421" s="86"/>
      <c r="S421" s="86"/>
      <c r="T421" s="2"/>
      <c r="U421" s="2"/>
    </row>
    <row r="422" spans="1:52" ht="34.85" customHeight="1" x14ac:dyDescent="0.25">
      <c r="A422" s="100"/>
      <c r="B422" s="109"/>
      <c r="C422" s="40"/>
      <c r="D422" s="19" t="s">
        <v>17</v>
      </c>
      <c r="E422" s="20">
        <f t="shared" ref="E422:E432" si="127">SUM(F422:Q422)</f>
        <v>0</v>
      </c>
      <c r="F422" s="18"/>
      <c r="G422" s="21">
        <v>0</v>
      </c>
      <c r="H422" s="21">
        <v>0</v>
      </c>
      <c r="I422" s="21">
        <v>0</v>
      </c>
      <c r="J422" s="21">
        <v>0</v>
      </c>
      <c r="K422" s="21">
        <v>0</v>
      </c>
      <c r="L422" s="21">
        <v>0</v>
      </c>
      <c r="M422" s="21">
        <v>0</v>
      </c>
      <c r="N422" s="21">
        <v>0</v>
      </c>
      <c r="O422" s="21">
        <v>0</v>
      </c>
      <c r="P422" s="21">
        <v>0</v>
      </c>
      <c r="Q422" s="21">
        <v>0</v>
      </c>
      <c r="R422" s="38"/>
      <c r="S422" s="38"/>
      <c r="T422" s="2"/>
      <c r="U422" s="2"/>
    </row>
    <row r="423" spans="1:52" ht="35.700000000000003" customHeight="1" x14ac:dyDescent="0.25">
      <c r="A423" s="100"/>
      <c r="B423" s="109"/>
      <c r="C423" s="40"/>
      <c r="D423" s="19" t="s">
        <v>18</v>
      </c>
      <c r="E423" s="20">
        <f t="shared" si="127"/>
        <v>0</v>
      </c>
      <c r="F423" s="18"/>
      <c r="G423" s="21">
        <v>0</v>
      </c>
      <c r="H423" s="21">
        <v>0</v>
      </c>
      <c r="I423" s="21">
        <v>0</v>
      </c>
      <c r="J423" s="21">
        <v>0</v>
      </c>
      <c r="K423" s="21">
        <v>0</v>
      </c>
      <c r="L423" s="21">
        <v>0</v>
      </c>
      <c r="M423" s="21">
        <v>0</v>
      </c>
      <c r="N423" s="21">
        <v>0</v>
      </c>
      <c r="O423" s="21">
        <v>0</v>
      </c>
      <c r="P423" s="21">
        <v>0</v>
      </c>
      <c r="Q423" s="21">
        <v>0</v>
      </c>
      <c r="R423" s="38"/>
      <c r="S423" s="38"/>
      <c r="T423" s="2"/>
      <c r="U423" s="2"/>
    </row>
    <row r="424" spans="1:52" ht="34.200000000000003" customHeight="1" x14ac:dyDescent="0.25">
      <c r="A424" s="100"/>
      <c r="B424" s="109"/>
      <c r="C424" s="44"/>
      <c r="D424" s="19" t="s">
        <v>19</v>
      </c>
      <c r="E424" s="20">
        <f t="shared" si="127"/>
        <v>1074175.3999999999</v>
      </c>
      <c r="F424" s="18"/>
      <c r="G424" s="21">
        <f t="shared" ref="G424:Q425" si="128">G430+G437</f>
        <v>62723.8</v>
      </c>
      <c r="H424" s="21">
        <f t="shared" si="128"/>
        <v>64890.400000000001</v>
      </c>
      <c r="I424" s="21">
        <f t="shared" si="128"/>
        <v>66924.600000000006</v>
      </c>
      <c r="J424" s="21">
        <f t="shared" si="128"/>
        <v>69411.899999999994</v>
      </c>
      <c r="K424" s="21">
        <f t="shared" si="128"/>
        <v>80351.399999999994</v>
      </c>
      <c r="L424" s="21">
        <f t="shared" si="128"/>
        <v>97487</v>
      </c>
      <c r="M424" s="21">
        <f t="shared" si="128"/>
        <v>110843.1</v>
      </c>
      <c r="N424" s="21">
        <f t="shared" si="128"/>
        <v>113815.09999999999</v>
      </c>
      <c r="O424" s="21">
        <f t="shared" si="128"/>
        <v>129793.1</v>
      </c>
      <c r="P424" s="21">
        <f t="shared" si="128"/>
        <v>135351</v>
      </c>
      <c r="Q424" s="21">
        <f t="shared" si="128"/>
        <v>142584</v>
      </c>
      <c r="R424" s="38"/>
      <c r="S424" s="38"/>
      <c r="T424" s="2"/>
      <c r="U424" s="2"/>
    </row>
    <row r="425" spans="1:52" ht="76.95" customHeight="1" x14ac:dyDescent="0.25">
      <c r="A425" s="100"/>
      <c r="B425" s="109"/>
      <c r="C425" s="44"/>
      <c r="D425" s="25" t="s">
        <v>20</v>
      </c>
      <c r="E425" s="26">
        <f t="shared" si="127"/>
        <v>38.599999999999994</v>
      </c>
      <c r="F425" s="43"/>
      <c r="G425" s="27">
        <f t="shared" si="128"/>
        <v>38.599999999999994</v>
      </c>
      <c r="H425" s="27">
        <f t="shared" si="128"/>
        <v>0</v>
      </c>
      <c r="I425" s="27">
        <f t="shared" si="128"/>
        <v>0</v>
      </c>
      <c r="J425" s="27">
        <f t="shared" si="128"/>
        <v>0</v>
      </c>
      <c r="K425" s="27">
        <f t="shared" si="128"/>
        <v>0</v>
      </c>
      <c r="L425" s="27">
        <f t="shared" si="128"/>
        <v>0</v>
      </c>
      <c r="M425" s="27">
        <f t="shared" si="128"/>
        <v>0</v>
      </c>
      <c r="N425" s="27">
        <f t="shared" si="128"/>
        <v>0</v>
      </c>
      <c r="O425" s="27">
        <f t="shared" si="128"/>
        <v>0</v>
      </c>
      <c r="P425" s="27">
        <f t="shared" si="128"/>
        <v>0</v>
      </c>
      <c r="Q425" s="27">
        <f t="shared" si="128"/>
        <v>0</v>
      </c>
      <c r="R425" s="38"/>
      <c r="S425" s="38"/>
      <c r="T425" s="2"/>
      <c r="U425" s="2"/>
    </row>
    <row r="426" spans="1:52" ht="28.5" customHeight="1" x14ac:dyDescent="0.25">
      <c r="A426" s="122"/>
      <c r="B426" s="140"/>
      <c r="C426" s="40"/>
      <c r="D426" s="19" t="s">
        <v>21</v>
      </c>
      <c r="E426" s="20">
        <f t="shared" si="127"/>
        <v>0</v>
      </c>
      <c r="F426" s="43"/>
      <c r="G426" s="27">
        <v>0</v>
      </c>
      <c r="H426" s="27">
        <v>0</v>
      </c>
      <c r="I426" s="27">
        <v>0</v>
      </c>
      <c r="J426" s="27">
        <v>0</v>
      </c>
      <c r="K426" s="27">
        <v>0</v>
      </c>
      <c r="L426" s="27">
        <v>0</v>
      </c>
      <c r="M426" s="27">
        <v>0</v>
      </c>
      <c r="N426" s="27">
        <v>0</v>
      </c>
      <c r="O426" s="27">
        <v>0</v>
      </c>
      <c r="P426" s="27">
        <v>0</v>
      </c>
      <c r="Q426" s="27">
        <v>0</v>
      </c>
      <c r="R426" s="38"/>
      <c r="S426" s="38"/>
      <c r="T426" s="2"/>
      <c r="U426" s="2"/>
    </row>
    <row r="427" spans="1:52" ht="35.700000000000003" customHeight="1" x14ac:dyDescent="0.25">
      <c r="A427" s="228" t="s">
        <v>105</v>
      </c>
      <c r="B427" s="276" t="s">
        <v>106</v>
      </c>
      <c r="C427" s="268" t="s">
        <v>80</v>
      </c>
      <c r="D427" s="19" t="s">
        <v>29</v>
      </c>
      <c r="E427" s="20">
        <f t="shared" si="127"/>
        <v>339990.7</v>
      </c>
      <c r="F427" s="21"/>
      <c r="G427" s="21">
        <f t="shared" ref="G427:L427" si="129">G430</f>
        <v>20233.3</v>
      </c>
      <c r="H427" s="21">
        <f t="shared" si="129"/>
        <v>20012.599999999999</v>
      </c>
      <c r="I427" s="21">
        <f t="shared" si="129"/>
        <v>20236</v>
      </c>
      <c r="J427" s="21">
        <f t="shared" si="129"/>
        <v>21467.200000000001</v>
      </c>
      <c r="K427" s="21">
        <f t="shared" si="129"/>
        <v>25212.6</v>
      </c>
      <c r="L427" s="21">
        <f t="shared" si="129"/>
        <v>29593.7</v>
      </c>
      <c r="M427" s="21">
        <f>M430</f>
        <v>36492.300000000003</v>
      </c>
      <c r="N427" s="21">
        <f>N430</f>
        <v>38308.5</v>
      </c>
      <c r="O427" s="21">
        <f>O430</f>
        <v>39965.9</v>
      </c>
      <c r="P427" s="21">
        <f>P430</f>
        <v>42780.6</v>
      </c>
      <c r="Q427" s="21">
        <f>Q430</f>
        <v>45688</v>
      </c>
      <c r="R427" s="38"/>
      <c r="S427" s="38"/>
      <c r="T427" s="2"/>
      <c r="U427" s="2"/>
    </row>
    <row r="428" spans="1:52" ht="44.7" customHeight="1" x14ac:dyDescent="0.25">
      <c r="A428" s="100"/>
      <c r="B428" s="352"/>
      <c r="C428" s="291"/>
      <c r="D428" s="19" t="s">
        <v>17</v>
      </c>
      <c r="E428" s="20">
        <f t="shared" si="127"/>
        <v>0</v>
      </c>
      <c r="F428" s="21"/>
      <c r="G428" s="21">
        <v>0</v>
      </c>
      <c r="H428" s="21">
        <v>0</v>
      </c>
      <c r="I428" s="21">
        <v>0</v>
      </c>
      <c r="J428" s="21">
        <v>0</v>
      </c>
      <c r="K428" s="21">
        <v>0</v>
      </c>
      <c r="L428" s="21">
        <v>0</v>
      </c>
      <c r="M428" s="21">
        <v>0</v>
      </c>
      <c r="N428" s="21">
        <v>0</v>
      </c>
      <c r="O428" s="21">
        <v>0</v>
      </c>
      <c r="P428" s="21">
        <v>0</v>
      </c>
      <c r="Q428" s="21">
        <v>0</v>
      </c>
      <c r="R428" s="38"/>
      <c r="S428" s="38"/>
      <c r="T428" s="2"/>
      <c r="U428" s="2"/>
    </row>
    <row r="429" spans="1:52" ht="36" customHeight="1" x14ac:dyDescent="0.25">
      <c r="A429" s="100"/>
      <c r="B429" s="352"/>
      <c r="C429" s="291"/>
      <c r="D429" s="19" t="s">
        <v>18</v>
      </c>
      <c r="E429" s="20">
        <f t="shared" si="127"/>
        <v>0</v>
      </c>
      <c r="F429" s="21"/>
      <c r="G429" s="21">
        <v>0</v>
      </c>
      <c r="H429" s="21">
        <v>0</v>
      </c>
      <c r="I429" s="21">
        <v>0</v>
      </c>
      <c r="J429" s="21">
        <v>0</v>
      </c>
      <c r="K429" s="21">
        <v>0</v>
      </c>
      <c r="L429" s="21">
        <v>0</v>
      </c>
      <c r="M429" s="21">
        <v>0</v>
      </c>
      <c r="N429" s="21">
        <v>0</v>
      </c>
      <c r="O429" s="21">
        <v>0</v>
      </c>
      <c r="P429" s="21">
        <v>0</v>
      </c>
      <c r="Q429" s="21">
        <v>0</v>
      </c>
      <c r="R429" s="38"/>
      <c r="S429" s="38"/>
      <c r="T429" s="2"/>
      <c r="U429" s="2"/>
    </row>
    <row r="430" spans="1:52" ht="38.15" customHeight="1" x14ac:dyDescent="0.25">
      <c r="A430" s="100"/>
      <c r="B430" s="111"/>
      <c r="C430" s="291"/>
      <c r="D430" s="19" t="s">
        <v>19</v>
      </c>
      <c r="E430" s="20">
        <f t="shared" si="127"/>
        <v>339990.7</v>
      </c>
      <c r="F430" s="21"/>
      <c r="G430" s="21">
        <f>19861.2+555.3-183.2</f>
        <v>20233.3</v>
      </c>
      <c r="H430" s="21">
        <f>20346.3-246-87.7</f>
        <v>20012.599999999999</v>
      </c>
      <c r="I430" s="21">
        <f>20236.8-0.8</f>
        <v>20236</v>
      </c>
      <c r="J430" s="21">
        <v>21467.200000000001</v>
      </c>
      <c r="K430" s="21">
        <v>25212.6</v>
      </c>
      <c r="L430" s="21">
        <f>24269.8+5118.5+205.5-0.1</f>
        <v>29593.7</v>
      </c>
      <c r="M430" s="21">
        <f>36492.3</f>
        <v>36492.300000000003</v>
      </c>
      <c r="N430" s="21">
        <f>40686.7+1394.3+300-4072.5</f>
        <v>38308.5</v>
      </c>
      <c r="O430" s="172">
        <f>39765.9+200</f>
        <v>39965.9</v>
      </c>
      <c r="P430" s="21">
        <v>42780.6</v>
      </c>
      <c r="Q430" s="21">
        <v>45688</v>
      </c>
      <c r="R430" s="38"/>
      <c r="S430" s="38"/>
      <c r="T430" s="2"/>
      <c r="U430" s="2"/>
    </row>
    <row r="431" spans="1:52" ht="80.2" customHeight="1" x14ac:dyDescent="0.25">
      <c r="A431" s="100"/>
      <c r="B431" s="111"/>
      <c r="C431" s="291"/>
      <c r="D431" s="19" t="s">
        <v>20</v>
      </c>
      <c r="E431" s="20">
        <f t="shared" si="127"/>
        <v>1.3</v>
      </c>
      <c r="F431" s="21"/>
      <c r="G431" s="21">
        <v>1.3</v>
      </c>
      <c r="H431" s="21">
        <f t="shared" ref="H431:Q431" si="130">H438+H444</f>
        <v>0</v>
      </c>
      <c r="I431" s="21">
        <f t="shared" si="130"/>
        <v>0</v>
      </c>
      <c r="J431" s="21">
        <f t="shared" si="130"/>
        <v>0</v>
      </c>
      <c r="K431" s="21">
        <f t="shared" si="130"/>
        <v>0</v>
      </c>
      <c r="L431" s="21">
        <f t="shared" si="130"/>
        <v>0</v>
      </c>
      <c r="M431" s="21">
        <f t="shared" si="130"/>
        <v>0</v>
      </c>
      <c r="N431" s="21">
        <f t="shared" si="130"/>
        <v>0</v>
      </c>
      <c r="O431" s="21">
        <f t="shared" si="130"/>
        <v>0</v>
      </c>
      <c r="P431" s="21">
        <f t="shared" si="130"/>
        <v>0</v>
      </c>
      <c r="Q431" s="21">
        <f t="shared" si="130"/>
        <v>0</v>
      </c>
      <c r="R431" s="38"/>
      <c r="S431" s="38"/>
      <c r="T431" s="2"/>
      <c r="U431" s="2"/>
    </row>
    <row r="432" spans="1:52" ht="33.4" customHeight="1" x14ac:dyDescent="0.25">
      <c r="A432" s="127"/>
      <c r="B432" s="127"/>
      <c r="C432" s="292"/>
      <c r="D432" s="19" t="s">
        <v>21</v>
      </c>
      <c r="E432" s="20">
        <f t="shared" si="127"/>
        <v>0</v>
      </c>
      <c r="F432" s="21"/>
      <c r="G432" s="21">
        <v>0</v>
      </c>
      <c r="H432" s="21">
        <v>0</v>
      </c>
      <c r="I432" s="21">
        <v>0</v>
      </c>
      <c r="J432" s="21">
        <v>0</v>
      </c>
      <c r="K432" s="21">
        <v>0</v>
      </c>
      <c r="L432" s="21">
        <v>0</v>
      </c>
      <c r="M432" s="21">
        <v>0</v>
      </c>
      <c r="N432" s="21">
        <v>0</v>
      </c>
      <c r="O432" s="21">
        <v>0</v>
      </c>
      <c r="P432" s="21">
        <v>0</v>
      </c>
      <c r="Q432" s="21">
        <v>0</v>
      </c>
      <c r="R432" s="38"/>
      <c r="S432" s="38"/>
      <c r="T432" s="2"/>
      <c r="U432" s="2"/>
    </row>
    <row r="433" spans="1:21" ht="60.4" hidden="1" customHeight="1" x14ac:dyDescent="0.25">
      <c r="A433" s="64" t="s">
        <v>107</v>
      </c>
      <c r="B433" s="135" t="s">
        <v>108</v>
      </c>
      <c r="C433" s="112"/>
      <c r="D433" s="16" t="s">
        <v>4</v>
      </c>
      <c r="E433" s="20">
        <f>SUM(F433:M433)</f>
        <v>0</v>
      </c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86"/>
      <c r="S433" s="86"/>
      <c r="T433" s="2"/>
      <c r="U433" s="2"/>
    </row>
    <row r="434" spans="1:21" ht="31.6" customHeight="1" x14ac:dyDescent="0.25">
      <c r="A434" s="360" t="s">
        <v>109</v>
      </c>
      <c r="B434" s="274" t="s">
        <v>110</v>
      </c>
      <c r="C434" s="268" t="s">
        <v>75</v>
      </c>
      <c r="D434" s="19" t="s">
        <v>29</v>
      </c>
      <c r="E434" s="20">
        <f t="shared" ref="E434:E439" si="131">SUM(F434:Q434)</f>
        <v>734184.7</v>
      </c>
      <c r="F434" s="21"/>
      <c r="G434" s="21">
        <f t="shared" ref="G434:L434" si="132">G437</f>
        <v>42490.500000000007</v>
      </c>
      <c r="H434" s="21">
        <f t="shared" si="132"/>
        <v>44877.8</v>
      </c>
      <c r="I434" s="21">
        <f t="shared" si="132"/>
        <v>46688.6</v>
      </c>
      <c r="J434" s="21">
        <f t="shared" si="132"/>
        <v>47944.7</v>
      </c>
      <c r="K434" s="21">
        <f t="shared" si="132"/>
        <v>55138.8</v>
      </c>
      <c r="L434" s="21">
        <f t="shared" si="132"/>
        <v>67893.3</v>
      </c>
      <c r="M434" s="21">
        <f>M437</f>
        <v>74350.8</v>
      </c>
      <c r="N434" s="21">
        <f>N437</f>
        <v>75506.599999999991</v>
      </c>
      <c r="O434" s="21">
        <f>O437</f>
        <v>89827.199999999997</v>
      </c>
      <c r="P434" s="21">
        <f>P437</f>
        <v>92570.4</v>
      </c>
      <c r="Q434" s="21">
        <f>Q437</f>
        <v>96896</v>
      </c>
      <c r="R434" s="38"/>
      <c r="S434" s="38"/>
      <c r="T434" s="2"/>
      <c r="U434" s="2"/>
    </row>
    <row r="435" spans="1:21" ht="28.15" customHeight="1" x14ac:dyDescent="0.25">
      <c r="A435" s="361"/>
      <c r="B435" s="352"/>
      <c r="C435" s="269"/>
      <c r="D435" s="19" t="s">
        <v>17</v>
      </c>
      <c r="E435" s="20">
        <f t="shared" si="131"/>
        <v>0</v>
      </c>
      <c r="F435" s="21"/>
      <c r="G435" s="21">
        <v>0</v>
      </c>
      <c r="H435" s="21">
        <v>0</v>
      </c>
      <c r="I435" s="21">
        <v>0</v>
      </c>
      <c r="J435" s="21">
        <v>0</v>
      </c>
      <c r="K435" s="21">
        <v>0</v>
      </c>
      <c r="L435" s="21">
        <v>0</v>
      </c>
      <c r="M435" s="21">
        <v>0</v>
      </c>
      <c r="N435" s="21">
        <v>0</v>
      </c>
      <c r="O435" s="21">
        <v>0</v>
      </c>
      <c r="P435" s="21">
        <v>0</v>
      </c>
      <c r="Q435" s="21">
        <v>0</v>
      </c>
      <c r="R435" s="38"/>
      <c r="S435" s="38"/>
      <c r="T435" s="2"/>
      <c r="U435" s="2"/>
    </row>
    <row r="436" spans="1:21" ht="37.35" customHeight="1" x14ac:dyDescent="0.25">
      <c r="A436" s="361"/>
      <c r="B436" s="352"/>
      <c r="C436" s="269"/>
      <c r="D436" s="19" t="s">
        <v>18</v>
      </c>
      <c r="E436" s="20">
        <f t="shared" si="131"/>
        <v>0</v>
      </c>
      <c r="F436" s="21"/>
      <c r="G436" s="21">
        <v>0</v>
      </c>
      <c r="H436" s="21">
        <v>0</v>
      </c>
      <c r="I436" s="21">
        <v>0</v>
      </c>
      <c r="J436" s="21">
        <v>0</v>
      </c>
      <c r="K436" s="21">
        <v>0</v>
      </c>
      <c r="L436" s="21">
        <v>0</v>
      </c>
      <c r="M436" s="21">
        <v>0</v>
      </c>
      <c r="N436" s="21">
        <v>0</v>
      </c>
      <c r="O436" s="21">
        <v>0</v>
      </c>
      <c r="P436" s="21">
        <v>0</v>
      </c>
      <c r="Q436" s="21">
        <v>0</v>
      </c>
      <c r="R436" s="38"/>
      <c r="S436" s="38"/>
      <c r="T436" s="2"/>
      <c r="U436" s="2"/>
    </row>
    <row r="437" spans="1:21" ht="30.15" customHeight="1" x14ac:dyDescent="0.25">
      <c r="A437" s="362"/>
      <c r="B437" s="363"/>
      <c r="C437" s="269"/>
      <c r="D437" s="19" t="s">
        <v>19</v>
      </c>
      <c r="E437" s="20">
        <f t="shared" si="131"/>
        <v>734184.7</v>
      </c>
      <c r="F437" s="21"/>
      <c r="G437" s="21">
        <f>43430.3-797.7-142.1-1.3+1.4-0.1</f>
        <v>42490.500000000007</v>
      </c>
      <c r="H437" s="21">
        <f>39311.5+4612.1-188.3+1124.9+115.3-97.7</f>
        <v>44877.8</v>
      </c>
      <c r="I437" s="21">
        <f>45664+320+116.5+613.9-25.8</f>
        <v>46688.6</v>
      </c>
      <c r="J437" s="21">
        <v>47944.7</v>
      </c>
      <c r="K437" s="21">
        <v>55138.8</v>
      </c>
      <c r="L437" s="21">
        <f>54155.7+13124-140.7+1112.3-357.9-0.1</f>
        <v>67893.3</v>
      </c>
      <c r="M437" s="21">
        <f>74307.8+43</f>
        <v>74350.8</v>
      </c>
      <c r="N437" s="21">
        <f>75503.3+680.9+542.4+340-1560</f>
        <v>75506.599999999991</v>
      </c>
      <c r="O437" s="172">
        <f>88138.9+200+300+427.2+761.1</f>
        <v>89827.199999999997</v>
      </c>
      <c r="P437" s="21">
        <v>92570.4</v>
      </c>
      <c r="Q437" s="21">
        <v>96896</v>
      </c>
      <c r="R437" s="38"/>
      <c r="S437" s="38"/>
      <c r="T437" s="2"/>
      <c r="U437" s="2"/>
    </row>
    <row r="438" spans="1:21" ht="68.900000000000006" customHeight="1" x14ac:dyDescent="0.25">
      <c r="A438" s="72"/>
      <c r="B438" s="113"/>
      <c r="C438" s="269"/>
      <c r="D438" s="19" t="s">
        <v>20</v>
      </c>
      <c r="E438" s="20">
        <f t="shared" si="131"/>
        <v>37.299999999999997</v>
      </c>
      <c r="F438" s="21"/>
      <c r="G438" s="21">
        <v>37.299999999999997</v>
      </c>
      <c r="H438" s="21">
        <v>0</v>
      </c>
      <c r="I438" s="21">
        <v>0</v>
      </c>
      <c r="J438" s="21">
        <v>0</v>
      </c>
      <c r="K438" s="21">
        <v>0</v>
      </c>
      <c r="L438" s="21">
        <v>0</v>
      </c>
      <c r="M438" s="21">
        <v>0</v>
      </c>
      <c r="N438" s="21">
        <v>0</v>
      </c>
      <c r="O438" s="21">
        <v>0</v>
      </c>
      <c r="P438" s="21">
        <v>0</v>
      </c>
      <c r="Q438" s="21">
        <v>0</v>
      </c>
      <c r="R438" s="38"/>
      <c r="S438" s="38"/>
      <c r="T438" s="2"/>
      <c r="U438" s="2"/>
    </row>
    <row r="439" spans="1:21" ht="31.95" customHeight="1" x14ac:dyDescent="0.25">
      <c r="A439" s="65"/>
      <c r="B439" s="127"/>
      <c r="C439" s="270"/>
      <c r="D439" s="19" t="s">
        <v>21</v>
      </c>
      <c r="E439" s="20">
        <f t="shared" si="131"/>
        <v>0</v>
      </c>
      <c r="F439" s="21"/>
      <c r="G439" s="21">
        <v>0</v>
      </c>
      <c r="H439" s="21">
        <v>0</v>
      </c>
      <c r="I439" s="21">
        <v>0</v>
      </c>
      <c r="J439" s="21">
        <v>0</v>
      </c>
      <c r="K439" s="21">
        <v>0</v>
      </c>
      <c r="L439" s="21">
        <v>0</v>
      </c>
      <c r="M439" s="21">
        <v>0</v>
      </c>
      <c r="N439" s="21">
        <v>0</v>
      </c>
      <c r="O439" s="21">
        <v>0</v>
      </c>
      <c r="P439" s="21">
        <v>0</v>
      </c>
      <c r="Q439" s="21">
        <v>0</v>
      </c>
      <c r="R439" s="38"/>
      <c r="S439" s="38"/>
      <c r="T439" s="2"/>
      <c r="U439" s="2"/>
    </row>
    <row r="440" spans="1:21" ht="16.55" hidden="1" customHeight="1" x14ac:dyDescent="0.25">
      <c r="A440" s="105" t="s">
        <v>111</v>
      </c>
      <c r="B440" s="267" t="s">
        <v>112</v>
      </c>
      <c r="C440" s="262" t="s">
        <v>113</v>
      </c>
      <c r="D440" s="19" t="s">
        <v>29</v>
      </c>
      <c r="E440" s="20">
        <f>SUM(F440:L440)</f>
        <v>0</v>
      </c>
      <c r="F440" s="21"/>
      <c r="G440" s="21">
        <f t="shared" ref="G440:L440" si="133">G443</f>
        <v>0</v>
      </c>
      <c r="H440" s="21">
        <f t="shared" si="133"/>
        <v>0</v>
      </c>
      <c r="I440" s="21">
        <f t="shared" si="133"/>
        <v>0</v>
      </c>
      <c r="J440" s="21">
        <f t="shared" si="133"/>
        <v>0</v>
      </c>
      <c r="K440" s="21">
        <f t="shared" si="133"/>
        <v>0</v>
      </c>
      <c r="L440" s="21">
        <f t="shared" si="133"/>
        <v>0</v>
      </c>
      <c r="M440" s="21">
        <f>M443</f>
        <v>0</v>
      </c>
      <c r="N440" s="21"/>
      <c r="O440" s="21"/>
      <c r="P440" s="21"/>
      <c r="Q440" s="21"/>
      <c r="R440" s="38"/>
      <c r="S440" s="38"/>
      <c r="T440" s="2"/>
      <c r="U440" s="2"/>
    </row>
    <row r="441" spans="1:21" ht="18" hidden="1" customHeight="1" x14ac:dyDescent="0.25">
      <c r="A441" s="105"/>
      <c r="B441" s="287"/>
      <c r="C441" s="263"/>
      <c r="D441" s="19" t="s">
        <v>17</v>
      </c>
      <c r="E441" s="20">
        <f>SUM(F441:L441)</f>
        <v>0</v>
      </c>
      <c r="F441" s="21"/>
      <c r="G441" s="21">
        <v>0</v>
      </c>
      <c r="H441" s="21">
        <v>0</v>
      </c>
      <c r="I441" s="21">
        <v>0</v>
      </c>
      <c r="J441" s="21">
        <v>0</v>
      </c>
      <c r="K441" s="21">
        <v>0</v>
      </c>
      <c r="L441" s="21">
        <v>0</v>
      </c>
      <c r="M441" s="21">
        <v>0</v>
      </c>
      <c r="N441" s="21"/>
      <c r="O441" s="21"/>
      <c r="P441" s="21"/>
      <c r="Q441" s="21"/>
      <c r="R441" s="38"/>
      <c r="S441" s="38"/>
      <c r="T441" s="2"/>
      <c r="U441" s="2"/>
    </row>
    <row r="442" spans="1:21" ht="15.05" hidden="1" customHeight="1" x14ac:dyDescent="0.25">
      <c r="A442" s="105"/>
      <c r="B442" s="287"/>
      <c r="C442" s="263"/>
      <c r="D442" s="19" t="s">
        <v>18</v>
      </c>
      <c r="E442" s="20">
        <f>SUM(F442:L442)</f>
        <v>0</v>
      </c>
      <c r="F442" s="21"/>
      <c r="G442" s="21">
        <v>0</v>
      </c>
      <c r="H442" s="21">
        <v>0</v>
      </c>
      <c r="I442" s="21">
        <v>0</v>
      </c>
      <c r="J442" s="21">
        <v>0</v>
      </c>
      <c r="K442" s="21">
        <v>0</v>
      </c>
      <c r="L442" s="21">
        <v>0</v>
      </c>
      <c r="M442" s="21">
        <v>0</v>
      </c>
      <c r="N442" s="21"/>
      <c r="O442" s="21"/>
      <c r="P442" s="21"/>
      <c r="Q442" s="21"/>
      <c r="R442" s="38"/>
      <c r="S442" s="38"/>
      <c r="T442" s="2"/>
      <c r="U442" s="2"/>
    </row>
    <row r="443" spans="1:21" ht="15.75" hidden="1" customHeight="1" x14ac:dyDescent="0.25">
      <c r="A443" s="106"/>
      <c r="B443" s="287"/>
      <c r="C443" s="263"/>
      <c r="D443" s="19" t="s">
        <v>19</v>
      </c>
      <c r="E443" s="20">
        <f>SUM(F443:L443)</f>
        <v>0</v>
      </c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38"/>
      <c r="S443" s="38"/>
      <c r="T443" s="2"/>
      <c r="U443" s="2"/>
    </row>
    <row r="444" spans="1:21" ht="30.8" hidden="1" customHeight="1" x14ac:dyDescent="0.25">
      <c r="A444" s="141"/>
      <c r="B444" s="133"/>
      <c r="C444" s="264"/>
      <c r="D444" s="19" t="s">
        <v>21</v>
      </c>
      <c r="E444" s="20">
        <f>SUM(F444:L444)</f>
        <v>0</v>
      </c>
      <c r="F444" s="21"/>
      <c r="G444" s="21">
        <v>0</v>
      </c>
      <c r="H444" s="21">
        <v>0</v>
      </c>
      <c r="I444" s="21">
        <v>0</v>
      </c>
      <c r="J444" s="21">
        <v>0</v>
      </c>
      <c r="K444" s="21">
        <v>0</v>
      </c>
      <c r="L444" s="21">
        <v>0</v>
      </c>
      <c r="M444" s="21">
        <v>0</v>
      </c>
      <c r="N444" s="21"/>
      <c r="O444" s="21"/>
      <c r="P444" s="21"/>
      <c r="Q444" s="21"/>
      <c r="R444" s="38"/>
      <c r="S444" s="38"/>
      <c r="T444" s="2"/>
      <c r="U444" s="2"/>
    </row>
    <row r="445" spans="1:21" ht="50.25" hidden="1" customHeight="1" x14ac:dyDescent="0.25">
      <c r="A445" s="66" t="s">
        <v>114</v>
      </c>
      <c r="B445" s="67" t="s">
        <v>115</v>
      </c>
      <c r="C445" s="117"/>
      <c r="D445" s="16" t="s">
        <v>4</v>
      </c>
      <c r="E445" s="17">
        <f>SUM(E446:E448)</f>
        <v>0</v>
      </c>
      <c r="F445" s="18"/>
      <c r="G445" s="18">
        <f t="shared" ref="G445:M445" si="134">G446</f>
        <v>0</v>
      </c>
      <c r="H445" s="18">
        <f t="shared" si="134"/>
        <v>0</v>
      </c>
      <c r="I445" s="18">
        <f t="shared" si="134"/>
        <v>0</v>
      </c>
      <c r="J445" s="18">
        <f t="shared" si="134"/>
        <v>0</v>
      </c>
      <c r="K445" s="18">
        <f t="shared" si="134"/>
        <v>0</v>
      </c>
      <c r="L445" s="18">
        <f t="shared" si="134"/>
        <v>0</v>
      </c>
      <c r="M445" s="18">
        <f t="shared" si="134"/>
        <v>0</v>
      </c>
      <c r="N445" s="18"/>
      <c r="O445" s="18"/>
      <c r="P445" s="18"/>
      <c r="Q445" s="18"/>
      <c r="R445" s="86"/>
      <c r="S445" s="86"/>
      <c r="T445" s="2"/>
      <c r="U445" s="2"/>
    </row>
    <row r="446" spans="1:21" ht="15.05" hidden="1" customHeight="1" x14ac:dyDescent="0.25">
      <c r="A446" s="265" t="s">
        <v>116</v>
      </c>
      <c r="B446" s="242" t="s">
        <v>110</v>
      </c>
      <c r="C446" s="117"/>
      <c r="D446" s="19" t="s">
        <v>29</v>
      </c>
      <c r="E446" s="20">
        <f>SUM(F446:L446)</f>
        <v>0</v>
      </c>
      <c r="F446" s="21"/>
      <c r="G446" s="21">
        <f t="shared" ref="G446:L446" si="135">G449</f>
        <v>0</v>
      </c>
      <c r="H446" s="21">
        <f t="shared" si="135"/>
        <v>0</v>
      </c>
      <c r="I446" s="21">
        <f t="shared" si="135"/>
        <v>0</v>
      </c>
      <c r="J446" s="21">
        <f t="shared" si="135"/>
        <v>0</v>
      </c>
      <c r="K446" s="21">
        <f t="shared" si="135"/>
        <v>0</v>
      </c>
      <c r="L446" s="21">
        <f t="shared" si="135"/>
        <v>0</v>
      </c>
      <c r="M446" s="21">
        <f>M449</f>
        <v>0</v>
      </c>
      <c r="N446" s="21"/>
      <c r="O446" s="21"/>
      <c r="P446" s="21"/>
      <c r="Q446" s="21"/>
      <c r="R446" s="38"/>
      <c r="S446" s="38"/>
      <c r="T446" s="2"/>
      <c r="U446" s="2"/>
    </row>
    <row r="447" spans="1:21" ht="17.2" hidden="1" customHeight="1" x14ac:dyDescent="0.25">
      <c r="A447" s="259"/>
      <c r="B447" s="261"/>
      <c r="C447" s="117"/>
      <c r="D447" s="19" t="s">
        <v>17</v>
      </c>
      <c r="E447" s="20">
        <f>SUM(F447:L447)</f>
        <v>0</v>
      </c>
      <c r="F447" s="21"/>
      <c r="G447" s="21">
        <v>0</v>
      </c>
      <c r="H447" s="21">
        <v>0</v>
      </c>
      <c r="I447" s="21">
        <v>0</v>
      </c>
      <c r="J447" s="21">
        <v>0</v>
      </c>
      <c r="K447" s="21">
        <v>0</v>
      </c>
      <c r="L447" s="21">
        <v>0</v>
      </c>
      <c r="M447" s="21">
        <v>0</v>
      </c>
      <c r="N447" s="21"/>
      <c r="O447" s="21"/>
      <c r="P447" s="21"/>
      <c r="Q447" s="21"/>
      <c r="R447" s="38"/>
      <c r="S447" s="38"/>
      <c r="T447" s="2"/>
      <c r="U447" s="2"/>
    </row>
    <row r="448" spans="1:21" ht="17.2" hidden="1" customHeight="1" x14ac:dyDescent="0.25">
      <c r="A448" s="259"/>
      <c r="B448" s="261"/>
      <c r="C448" s="117"/>
      <c r="D448" s="19" t="s">
        <v>18</v>
      </c>
      <c r="E448" s="20">
        <f>SUM(F448:L448)</f>
        <v>0</v>
      </c>
      <c r="F448" s="21"/>
      <c r="G448" s="21">
        <v>0</v>
      </c>
      <c r="H448" s="21">
        <v>0</v>
      </c>
      <c r="I448" s="21">
        <v>0</v>
      </c>
      <c r="J448" s="21">
        <v>0</v>
      </c>
      <c r="K448" s="21">
        <v>0</v>
      </c>
      <c r="L448" s="21">
        <v>0</v>
      </c>
      <c r="M448" s="21">
        <v>0</v>
      </c>
      <c r="N448" s="21"/>
      <c r="O448" s="21"/>
      <c r="P448" s="21"/>
      <c r="Q448" s="21"/>
      <c r="R448" s="38"/>
      <c r="S448" s="38"/>
      <c r="T448" s="2"/>
      <c r="U448" s="2"/>
    </row>
    <row r="449" spans="1:52" ht="15.75" hidden="1" customHeight="1" x14ac:dyDescent="0.25">
      <c r="A449" s="259"/>
      <c r="B449" s="261"/>
      <c r="C449" s="117"/>
      <c r="D449" s="19" t="s">
        <v>19</v>
      </c>
      <c r="E449" s="20">
        <f>SUM(F449:L449)</f>
        <v>0</v>
      </c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38"/>
      <c r="S449" s="38"/>
      <c r="T449" s="2"/>
      <c r="U449" s="2"/>
    </row>
    <row r="450" spans="1:52" ht="34.549999999999997" hidden="1" customHeight="1" x14ac:dyDescent="0.25">
      <c r="A450" s="259"/>
      <c r="B450" s="261"/>
      <c r="C450" s="117"/>
      <c r="D450" s="19" t="s">
        <v>66</v>
      </c>
      <c r="E450" s="20">
        <f>SUM(G450:L450)</f>
        <v>0</v>
      </c>
      <c r="F450" s="21"/>
      <c r="G450" s="21">
        <v>0</v>
      </c>
      <c r="H450" s="21">
        <v>0</v>
      </c>
      <c r="I450" s="21">
        <v>0</v>
      </c>
      <c r="J450" s="21">
        <v>0</v>
      </c>
      <c r="K450" s="21">
        <v>0</v>
      </c>
      <c r="L450" s="21">
        <v>0</v>
      </c>
      <c r="M450" s="21">
        <v>0</v>
      </c>
      <c r="N450" s="21"/>
      <c r="O450" s="21"/>
      <c r="P450" s="21"/>
      <c r="Q450" s="21"/>
      <c r="R450" s="38"/>
      <c r="S450" s="38"/>
      <c r="T450" s="2"/>
      <c r="U450" s="2"/>
    </row>
    <row r="451" spans="1:52" ht="8.6999999999999993" hidden="1" customHeight="1" x14ac:dyDescent="0.25">
      <c r="A451" s="260"/>
      <c r="B451" s="261"/>
      <c r="C451" s="117"/>
      <c r="D451" s="68" t="s">
        <v>21</v>
      </c>
      <c r="E451" s="20">
        <f>SUM(F451:L451)</f>
        <v>0</v>
      </c>
      <c r="F451" s="21"/>
      <c r="G451" s="21">
        <v>0</v>
      </c>
      <c r="H451" s="21">
        <v>0</v>
      </c>
      <c r="I451" s="21">
        <v>0</v>
      </c>
      <c r="J451" s="21">
        <v>0</v>
      </c>
      <c r="K451" s="21">
        <v>0</v>
      </c>
      <c r="L451" s="21">
        <v>0</v>
      </c>
      <c r="M451" s="21">
        <v>0</v>
      </c>
      <c r="N451" s="21"/>
      <c r="O451" s="21"/>
      <c r="P451" s="21"/>
      <c r="Q451" s="21"/>
      <c r="R451" s="38"/>
      <c r="S451" s="38"/>
      <c r="T451" s="2"/>
      <c r="U451" s="2"/>
    </row>
    <row r="452" spans="1:52" ht="31.95" customHeight="1" x14ac:dyDescent="0.25">
      <c r="A452" s="281" t="s">
        <v>117</v>
      </c>
      <c r="B452" s="283" t="s">
        <v>118</v>
      </c>
      <c r="C452" s="32"/>
      <c r="D452" s="16" t="s">
        <v>4</v>
      </c>
      <c r="E452" s="17">
        <f>SUM(G452:Q452)</f>
        <v>42912.800000000003</v>
      </c>
      <c r="F452" s="18"/>
      <c r="G452" s="18">
        <f t="shared" ref="G452:L452" si="136">G457+G462</f>
        <v>0</v>
      </c>
      <c r="H452" s="18">
        <f t="shared" si="136"/>
        <v>2336.3000000000002</v>
      </c>
      <c r="I452" s="18">
        <f t="shared" si="136"/>
        <v>1635.2999999999997</v>
      </c>
      <c r="J452" s="18">
        <f t="shared" si="136"/>
        <v>2000.6</v>
      </c>
      <c r="K452" s="18">
        <f t="shared" si="136"/>
        <v>2490.6999999999998</v>
      </c>
      <c r="L452" s="18">
        <f t="shared" si="136"/>
        <v>3266.7</v>
      </c>
      <c r="M452" s="18">
        <f>M457+M462+M467</f>
        <v>3736.2</v>
      </c>
      <c r="N452" s="18">
        <f>N457+N462+N467</f>
        <v>5684</v>
      </c>
      <c r="O452" s="18">
        <f>O457+O462+O467</f>
        <v>7523.3</v>
      </c>
      <c r="P452" s="18">
        <f>P457+P462+P467</f>
        <v>7129.9</v>
      </c>
      <c r="Q452" s="18">
        <f>Q457+Q462+Q467</f>
        <v>7109.8</v>
      </c>
      <c r="R452" s="86"/>
      <c r="S452" s="86"/>
      <c r="T452" s="2"/>
      <c r="U452" s="2"/>
    </row>
    <row r="453" spans="1:52" ht="40.1" customHeight="1" x14ac:dyDescent="0.25">
      <c r="A453" s="323"/>
      <c r="B453" s="314"/>
      <c r="C453" s="115"/>
      <c r="D453" s="19" t="s">
        <v>17</v>
      </c>
      <c r="E453" s="20">
        <f t="shared" ref="E453:E466" si="137">SUM(F453:Q453)</f>
        <v>0</v>
      </c>
      <c r="F453" s="18"/>
      <c r="G453" s="21">
        <v>0</v>
      </c>
      <c r="H453" s="21">
        <v>0</v>
      </c>
      <c r="I453" s="21">
        <v>0</v>
      </c>
      <c r="J453" s="21">
        <v>0</v>
      </c>
      <c r="K453" s="21">
        <v>0</v>
      </c>
      <c r="L453" s="21">
        <v>0</v>
      </c>
      <c r="M453" s="21">
        <v>0</v>
      </c>
      <c r="N453" s="21">
        <v>0</v>
      </c>
      <c r="O453" s="21">
        <v>0</v>
      </c>
      <c r="P453" s="21">
        <v>0</v>
      </c>
      <c r="Q453" s="21">
        <v>0</v>
      </c>
      <c r="R453" s="38"/>
      <c r="S453" s="38"/>
      <c r="T453" s="2"/>
      <c r="U453" s="2"/>
    </row>
    <row r="454" spans="1:52" ht="36" customHeight="1" x14ac:dyDescent="0.25">
      <c r="A454" s="323"/>
      <c r="B454" s="314"/>
      <c r="C454" s="114"/>
      <c r="D454" s="25" t="s">
        <v>18</v>
      </c>
      <c r="E454" s="20">
        <f t="shared" si="137"/>
        <v>0</v>
      </c>
      <c r="F454" s="43"/>
      <c r="G454" s="27">
        <v>0</v>
      </c>
      <c r="H454" s="27">
        <v>0</v>
      </c>
      <c r="I454" s="27">
        <v>0</v>
      </c>
      <c r="J454" s="27">
        <v>0</v>
      </c>
      <c r="K454" s="27">
        <v>0</v>
      </c>
      <c r="L454" s="27">
        <v>0</v>
      </c>
      <c r="M454" s="27">
        <v>0</v>
      </c>
      <c r="N454" s="27">
        <v>0</v>
      </c>
      <c r="O454" s="27">
        <v>0</v>
      </c>
      <c r="P454" s="27">
        <v>0</v>
      </c>
      <c r="Q454" s="27">
        <v>0</v>
      </c>
      <c r="R454" s="38"/>
      <c r="S454" s="38"/>
      <c r="T454" s="2"/>
      <c r="U454" s="2"/>
    </row>
    <row r="455" spans="1:52" ht="36.65" customHeight="1" x14ac:dyDescent="0.25">
      <c r="A455" s="323"/>
      <c r="B455" s="314"/>
      <c r="C455" s="115"/>
      <c r="D455" s="19" t="s">
        <v>19</v>
      </c>
      <c r="E455" s="20">
        <f t="shared" si="137"/>
        <v>42912.800000000003</v>
      </c>
      <c r="F455" s="18"/>
      <c r="G455" s="21">
        <v>0</v>
      </c>
      <c r="H455" s="21">
        <f>H460+H465</f>
        <v>2336.3000000000002</v>
      </c>
      <c r="I455" s="21">
        <f>I460+I465</f>
        <v>1635.2999999999997</v>
      </c>
      <c r="J455" s="21">
        <f>J460+J465</f>
        <v>2000.6</v>
      </c>
      <c r="K455" s="21">
        <f>K460+K465</f>
        <v>2490.6999999999998</v>
      </c>
      <c r="L455" s="21">
        <f>L460+L465</f>
        <v>3266.7</v>
      </c>
      <c r="M455" s="21">
        <f>M460+M465+M470</f>
        <v>3736.2</v>
      </c>
      <c r="N455" s="21">
        <f>N460+N465+N470</f>
        <v>5684</v>
      </c>
      <c r="O455" s="21">
        <f>O460+O465+O470</f>
        <v>7523.3</v>
      </c>
      <c r="P455" s="21">
        <f>P460+P465+P470</f>
        <v>7129.9</v>
      </c>
      <c r="Q455" s="21">
        <f>Q460+Q465+Q470</f>
        <v>7109.8</v>
      </c>
      <c r="R455" s="38"/>
      <c r="S455" s="38"/>
      <c r="T455" s="2"/>
      <c r="U455" s="2"/>
      <c r="AZ455" s="2"/>
    </row>
    <row r="456" spans="1:52" ht="33.75" customHeight="1" x14ac:dyDescent="0.25">
      <c r="A456" s="24"/>
      <c r="B456" s="164"/>
      <c r="C456" s="115"/>
      <c r="D456" s="25" t="s">
        <v>21</v>
      </c>
      <c r="E456" s="26">
        <f t="shared" si="137"/>
        <v>0</v>
      </c>
      <c r="F456" s="43"/>
      <c r="G456" s="27">
        <v>0</v>
      </c>
      <c r="H456" s="27">
        <v>0</v>
      </c>
      <c r="I456" s="27">
        <v>0</v>
      </c>
      <c r="J456" s="27">
        <v>0</v>
      </c>
      <c r="K456" s="27">
        <v>0</v>
      </c>
      <c r="L456" s="27">
        <v>0</v>
      </c>
      <c r="M456" s="27">
        <v>0</v>
      </c>
      <c r="N456" s="27">
        <v>0</v>
      </c>
      <c r="O456" s="27">
        <v>0</v>
      </c>
      <c r="P456" s="27">
        <v>0</v>
      </c>
      <c r="Q456" s="27">
        <v>0</v>
      </c>
      <c r="R456" s="38"/>
      <c r="S456" s="38"/>
      <c r="T456" s="2"/>
      <c r="U456" s="2"/>
    </row>
    <row r="457" spans="1:52" ht="24.9" customHeight="1" x14ac:dyDescent="0.25">
      <c r="A457" s="357" t="s">
        <v>119</v>
      </c>
      <c r="B457" s="267" t="s">
        <v>169</v>
      </c>
      <c r="C457" s="262" t="s">
        <v>75</v>
      </c>
      <c r="D457" s="19" t="s">
        <v>29</v>
      </c>
      <c r="E457" s="20">
        <f t="shared" si="137"/>
        <v>11070</v>
      </c>
      <c r="F457" s="21"/>
      <c r="G457" s="21">
        <v>0</v>
      </c>
      <c r="H457" s="21">
        <f t="shared" ref="H457:Q457" si="138">SUM(H458:H460)</f>
        <v>641.20000000000005</v>
      </c>
      <c r="I457" s="21">
        <f t="shared" si="138"/>
        <v>540.5</v>
      </c>
      <c r="J457" s="21">
        <f t="shared" si="138"/>
        <v>525.5</v>
      </c>
      <c r="K457" s="21">
        <f t="shared" si="138"/>
        <v>845.4</v>
      </c>
      <c r="L457" s="21">
        <f t="shared" si="138"/>
        <v>1157.9999999999998</v>
      </c>
      <c r="M457" s="21">
        <f t="shared" si="138"/>
        <v>1002.6</v>
      </c>
      <c r="N457" s="21">
        <f t="shared" si="138"/>
        <v>1224.7999999999997</v>
      </c>
      <c r="O457" s="21">
        <f t="shared" si="138"/>
        <v>1746.3</v>
      </c>
      <c r="P457" s="21">
        <f t="shared" si="138"/>
        <v>1702.9</v>
      </c>
      <c r="Q457" s="21">
        <f t="shared" si="138"/>
        <v>1682.8</v>
      </c>
      <c r="R457" s="38"/>
      <c r="S457" s="38"/>
      <c r="T457" s="2"/>
      <c r="U457" s="2"/>
    </row>
    <row r="458" spans="1:52" ht="35.700000000000003" customHeight="1" x14ac:dyDescent="0.25">
      <c r="A458" s="357"/>
      <c r="B458" s="359"/>
      <c r="C458" s="356"/>
      <c r="D458" s="19" t="s">
        <v>17</v>
      </c>
      <c r="E458" s="20">
        <f t="shared" si="137"/>
        <v>0</v>
      </c>
      <c r="F458" s="21">
        <v>0</v>
      </c>
      <c r="G458" s="21">
        <v>0</v>
      </c>
      <c r="H458" s="21">
        <v>0</v>
      </c>
      <c r="I458" s="21">
        <v>0</v>
      </c>
      <c r="J458" s="21">
        <v>0</v>
      </c>
      <c r="K458" s="21">
        <v>0</v>
      </c>
      <c r="L458" s="21">
        <v>0</v>
      </c>
      <c r="M458" s="21">
        <v>0</v>
      </c>
      <c r="N458" s="21">
        <v>0</v>
      </c>
      <c r="O458" s="21">
        <v>0</v>
      </c>
      <c r="P458" s="21">
        <v>0</v>
      </c>
      <c r="Q458" s="21">
        <v>0</v>
      </c>
      <c r="R458" s="38"/>
      <c r="S458" s="38"/>
      <c r="T458" s="2"/>
      <c r="U458" s="2"/>
    </row>
    <row r="459" spans="1:52" ht="29.15" customHeight="1" x14ac:dyDescent="0.25">
      <c r="A459" s="357"/>
      <c r="B459" s="231"/>
      <c r="C459" s="356"/>
      <c r="D459" s="19" t="s">
        <v>18</v>
      </c>
      <c r="E459" s="20">
        <f t="shared" si="137"/>
        <v>0</v>
      </c>
      <c r="F459" s="21">
        <v>0</v>
      </c>
      <c r="G459" s="21">
        <v>0</v>
      </c>
      <c r="H459" s="21">
        <v>0</v>
      </c>
      <c r="I459" s="21">
        <v>0</v>
      </c>
      <c r="J459" s="21">
        <v>0</v>
      </c>
      <c r="K459" s="21">
        <v>0</v>
      </c>
      <c r="L459" s="21">
        <v>0</v>
      </c>
      <c r="M459" s="21">
        <v>0</v>
      </c>
      <c r="N459" s="21">
        <v>0</v>
      </c>
      <c r="O459" s="21">
        <v>0</v>
      </c>
      <c r="P459" s="21">
        <v>0</v>
      </c>
      <c r="Q459" s="21">
        <v>0</v>
      </c>
      <c r="R459" s="38"/>
      <c r="S459" s="38"/>
      <c r="T459" s="2"/>
      <c r="U459" s="2"/>
    </row>
    <row r="460" spans="1:52" ht="47.8" customHeight="1" x14ac:dyDescent="0.25">
      <c r="A460" s="357"/>
      <c r="B460" s="231"/>
      <c r="C460" s="356"/>
      <c r="D460" s="19" t="s">
        <v>19</v>
      </c>
      <c r="E460" s="20">
        <f t="shared" si="137"/>
        <v>11070</v>
      </c>
      <c r="F460" s="21"/>
      <c r="G460" s="21">
        <v>0</v>
      </c>
      <c r="H460" s="21">
        <f>325.5+372.6-56.9</f>
        <v>641.20000000000005</v>
      </c>
      <c r="I460" s="21">
        <f>325.5+215</f>
        <v>540.5</v>
      </c>
      <c r="J460" s="21">
        <f>325.5+215-15</f>
        <v>525.5</v>
      </c>
      <c r="K460" s="21">
        <v>845.4</v>
      </c>
      <c r="L460" s="21">
        <f>831.5+92.1+180+54.3+0.1</f>
        <v>1157.9999999999998</v>
      </c>
      <c r="M460" s="21">
        <f>948.2+54.4</f>
        <v>1002.6</v>
      </c>
      <c r="N460" s="21">
        <f>477.7+519.4+147+590.8-510.1</f>
        <v>1224.7999999999997</v>
      </c>
      <c r="O460" s="21">
        <f>338.5+1157.8+250</f>
        <v>1746.3</v>
      </c>
      <c r="P460" s="21">
        <f>338.5+1364.4</f>
        <v>1702.9</v>
      </c>
      <c r="Q460" s="21">
        <f>338.5+1344.3</f>
        <v>1682.8</v>
      </c>
      <c r="R460" s="38"/>
      <c r="S460" s="38"/>
      <c r="T460" s="2"/>
      <c r="U460" s="2"/>
    </row>
    <row r="461" spans="1:52" ht="31.95" customHeight="1" x14ac:dyDescent="0.25">
      <c r="A461" s="358"/>
      <c r="B461" s="232"/>
      <c r="C461" s="254"/>
      <c r="D461" s="19" t="s">
        <v>21</v>
      </c>
      <c r="E461" s="20">
        <f t="shared" si="137"/>
        <v>0</v>
      </c>
      <c r="F461" s="21"/>
      <c r="G461" s="21">
        <v>0</v>
      </c>
      <c r="H461" s="21">
        <v>0</v>
      </c>
      <c r="I461" s="21">
        <v>0</v>
      </c>
      <c r="J461" s="21">
        <v>0</v>
      </c>
      <c r="K461" s="21">
        <v>0</v>
      </c>
      <c r="L461" s="21">
        <v>0</v>
      </c>
      <c r="M461" s="21">
        <v>0</v>
      </c>
      <c r="N461" s="21">
        <v>0</v>
      </c>
      <c r="O461" s="21">
        <v>0</v>
      </c>
      <c r="P461" s="21">
        <v>0</v>
      </c>
      <c r="Q461" s="21">
        <v>0</v>
      </c>
      <c r="R461" s="38"/>
      <c r="S461" s="38"/>
      <c r="T461" s="2"/>
      <c r="U461" s="2"/>
    </row>
    <row r="462" spans="1:52" ht="39.450000000000003" customHeight="1" x14ac:dyDescent="0.25">
      <c r="A462" s="230" t="s">
        <v>120</v>
      </c>
      <c r="B462" s="242" t="s">
        <v>121</v>
      </c>
      <c r="C462" s="268" t="s">
        <v>75</v>
      </c>
      <c r="D462" s="19" t="s">
        <v>29</v>
      </c>
      <c r="E462" s="20">
        <f t="shared" si="137"/>
        <v>20820.599999999999</v>
      </c>
      <c r="F462" s="21">
        <f t="shared" ref="F462:L462" si="139">SUM(F463:F465)</f>
        <v>0</v>
      </c>
      <c r="G462" s="21">
        <f t="shared" si="139"/>
        <v>0</v>
      </c>
      <c r="H462" s="21">
        <f t="shared" si="139"/>
        <v>1695.1</v>
      </c>
      <c r="I462" s="21">
        <f t="shared" si="139"/>
        <v>1094.7999999999997</v>
      </c>
      <c r="J462" s="21">
        <f t="shared" si="139"/>
        <v>1475.1</v>
      </c>
      <c r="K462" s="21">
        <f t="shared" si="139"/>
        <v>1645.3</v>
      </c>
      <c r="L462" s="21">
        <f t="shared" si="139"/>
        <v>2108.7000000000003</v>
      </c>
      <c r="M462" s="21">
        <f>SUM(M463:M465)</f>
        <v>1443.6</v>
      </c>
      <c r="N462" s="21">
        <f>SUM(N463:N465)</f>
        <v>2627</v>
      </c>
      <c r="O462" s="21">
        <f>SUM(O463:O465)</f>
        <v>3477</v>
      </c>
      <c r="P462" s="21">
        <f>SUM(P463:P465)</f>
        <v>2627</v>
      </c>
      <c r="Q462" s="21">
        <f>SUM(Q463:Q465)</f>
        <v>2627</v>
      </c>
      <c r="R462" s="38"/>
      <c r="S462" s="38"/>
      <c r="T462" s="2"/>
      <c r="U462" s="2"/>
    </row>
    <row r="463" spans="1:52" ht="31.95" customHeight="1" x14ac:dyDescent="0.25">
      <c r="A463" s="227"/>
      <c r="B463" s="325"/>
      <c r="C463" s="326"/>
      <c r="D463" s="19" t="s">
        <v>17</v>
      </c>
      <c r="E463" s="20">
        <f t="shared" si="137"/>
        <v>0</v>
      </c>
      <c r="F463" s="21">
        <v>0</v>
      </c>
      <c r="G463" s="21">
        <v>0</v>
      </c>
      <c r="H463" s="21">
        <v>0</v>
      </c>
      <c r="I463" s="21">
        <v>0</v>
      </c>
      <c r="J463" s="21">
        <v>0</v>
      </c>
      <c r="K463" s="21">
        <v>0</v>
      </c>
      <c r="L463" s="21">
        <v>0</v>
      </c>
      <c r="M463" s="21">
        <v>0</v>
      </c>
      <c r="N463" s="21">
        <v>0</v>
      </c>
      <c r="O463" s="21">
        <v>0</v>
      </c>
      <c r="P463" s="21">
        <v>0</v>
      </c>
      <c r="Q463" s="21">
        <v>0</v>
      </c>
      <c r="R463" s="38"/>
      <c r="S463" s="38"/>
      <c r="T463" s="2"/>
      <c r="U463" s="2"/>
    </row>
    <row r="464" spans="1:52" ht="27.65" customHeight="1" x14ac:dyDescent="0.25">
      <c r="A464" s="227"/>
      <c r="B464" s="325"/>
      <c r="C464" s="326"/>
      <c r="D464" s="19" t="s">
        <v>18</v>
      </c>
      <c r="E464" s="20">
        <f t="shared" si="137"/>
        <v>0</v>
      </c>
      <c r="F464" s="21">
        <v>0</v>
      </c>
      <c r="G464" s="21">
        <v>0</v>
      </c>
      <c r="H464" s="21">
        <v>0</v>
      </c>
      <c r="I464" s="21">
        <v>0</v>
      </c>
      <c r="J464" s="21">
        <v>0</v>
      </c>
      <c r="K464" s="21">
        <v>0</v>
      </c>
      <c r="L464" s="21">
        <v>0</v>
      </c>
      <c r="M464" s="21">
        <v>0</v>
      </c>
      <c r="N464" s="21">
        <v>0</v>
      </c>
      <c r="O464" s="21">
        <v>0</v>
      </c>
      <c r="P464" s="21">
        <v>0</v>
      </c>
      <c r="Q464" s="21">
        <v>0</v>
      </c>
      <c r="R464" s="38"/>
      <c r="S464" s="38"/>
      <c r="T464" s="2"/>
      <c r="U464" s="2"/>
    </row>
    <row r="465" spans="1:64" ht="29.65" customHeight="1" x14ac:dyDescent="0.25">
      <c r="A465" s="227"/>
      <c r="B465" s="325"/>
      <c r="C465" s="326"/>
      <c r="D465" s="19" t="s">
        <v>19</v>
      </c>
      <c r="E465" s="20">
        <f t="shared" si="137"/>
        <v>20820.599999999999</v>
      </c>
      <c r="F465" s="21"/>
      <c r="G465" s="21">
        <v>0</v>
      </c>
      <c r="H465" s="21">
        <f>1101.1+429.3+250-85.3</f>
        <v>1695.1</v>
      </c>
      <c r="I465" s="21">
        <f>1491.1+980.3+14-1390.6</f>
        <v>1094.7999999999997</v>
      </c>
      <c r="J465" s="21">
        <v>1475.1</v>
      </c>
      <c r="K465" s="21">
        <v>1645.3</v>
      </c>
      <c r="L465" s="21">
        <f>3054.4-850-95.7</f>
        <v>2108.7000000000003</v>
      </c>
      <c r="M465" s="21">
        <f>1498.2-54.4-0.2</f>
        <v>1443.6</v>
      </c>
      <c r="N465" s="21">
        <f>1331.5+1807.5+37.4-519.4-30</f>
        <v>2627</v>
      </c>
      <c r="O465" s="21">
        <f>2627+600+250</f>
        <v>3477</v>
      </c>
      <c r="P465" s="21">
        <v>2627</v>
      </c>
      <c r="Q465" s="21">
        <v>2627</v>
      </c>
      <c r="R465" s="38"/>
      <c r="S465" s="38"/>
      <c r="T465" s="2"/>
      <c r="U465" s="2"/>
    </row>
    <row r="466" spans="1:64" ht="30.45" customHeight="1" x14ac:dyDescent="0.25">
      <c r="A466" s="229"/>
      <c r="B466" s="328"/>
      <c r="C466" s="327"/>
      <c r="D466" s="19" t="s">
        <v>21</v>
      </c>
      <c r="E466" s="20">
        <f t="shared" si="137"/>
        <v>0</v>
      </c>
      <c r="F466" s="21"/>
      <c r="G466" s="21">
        <v>0</v>
      </c>
      <c r="H466" s="21">
        <v>0</v>
      </c>
      <c r="I466" s="21">
        <v>0</v>
      </c>
      <c r="J466" s="21">
        <v>0</v>
      </c>
      <c r="K466" s="21">
        <v>0</v>
      </c>
      <c r="L466" s="21">
        <v>0</v>
      </c>
      <c r="M466" s="21">
        <v>0</v>
      </c>
      <c r="N466" s="21">
        <v>0</v>
      </c>
      <c r="O466" s="21">
        <v>0</v>
      </c>
      <c r="P466" s="21">
        <v>0</v>
      </c>
      <c r="Q466" s="21">
        <v>0</v>
      </c>
      <c r="R466" s="38"/>
      <c r="S466" s="38"/>
      <c r="T466" s="2"/>
      <c r="U466" s="2"/>
    </row>
    <row r="467" spans="1:64" ht="34.85" customHeight="1" x14ac:dyDescent="0.25">
      <c r="A467" s="233" t="s">
        <v>190</v>
      </c>
      <c r="B467" s="242" t="s">
        <v>200</v>
      </c>
      <c r="C467" s="268" t="s">
        <v>75</v>
      </c>
      <c r="D467" s="19" t="s">
        <v>29</v>
      </c>
      <c r="E467" s="20">
        <f>SUM(F467:Q467)</f>
        <v>11022.2</v>
      </c>
      <c r="F467" s="21">
        <f t="shared" ref="F467:L467" si="140">SUM(F468:F470)</f>
        <v>0</v>
      </c>
      <c r="G467" s="21">
        <f t="shared" si="140"/>
        <v>0</v>
      </c>
      <c r="H467" s="21">
        <f t="shared" si="140"/>
        <v>0</v>
      </c>
      <c r="I467" s="21">
        <f t="shared" si="140"/>
        <v>0</v>
      </c>
      <c r="J467" s="21">
        <f t="shared" si="140"/>
        <v>0</v>
      </c>
      <c r="K467" s="21">
        <f t="shared" si="140"/>
        <v>0</v>
      </c>
      <c r="L467" s="21">
        <f t="shared" si="140"/>
        <v>0</v>
      </c>
      <c r="M467" s="21">
        <f>SUM(M468:M470)</f>
        <v>1290</v>
      </c>
      <c r="N467" s="21">
        <f>SUM(N468:N470)</f>
        <v>1832.2</v>
      </c>
      <c r="O467" s="21">
        <f>SUM(O468:O470)</f>
        <v>2300</v>
      </c>
      <c r="P467" s="21">
        <f>SUM(P468:P470)</f>
        <v>2800</v>
      </c>
      <c r="Q467" s="21">
        <f>SUM(Q468:Q470)</f>
        <v>2800</v>
      </c>
      <c r="R467" s="38"/>
      <c r="S467" s="38"/>
      <c r="T467" s="2"/>
      <c r="U467" s="2"/>
    </row>
    <row r="468" spans="1:64" ht="34.85" customHeight="1" x14ac:dyDescent="0.25">
      <c r="A468" s="234"/>
      <c r="B468" s="284"/>
      <c r="C468" s="326"/>
      <c r="D468" s="19" t="s">
        <v>17</v>
      </c>
      <c r="E468" s="20">
        <f>SUM(F468:Q468)</f>
        <v>0</v>
      </c>
      <c r="F468" s="21">
        <v>0</v>
      </c>
      <c r="G468" s="21">
        <v>0</v>
      </c>
      <c r="H468" s="21">
        <v>0</v>
      </c>
      <c r="I468" s="21">
        <v>0</v>
      </c>
      <c r="J468" s="21">
        <v>0</v>
      </c>
      <c r="K468" s="21">
        <v>0</v>
      </c>
      <c r="L468" s="21">
        <v>0</v>
      </c>
      <c r="M468" s="21">
        <v>0</v>
      </c>
      <c r="N468" s="21">
        <v>0</v>
      </c>
      <c r="O468" s="21">
        <v>0</v>
      </c>
      <c r="P468" s="21">
        <v>0</v>
      </c>
      <c r="Q468" s="21">
        <v>0</v>
      </c>
      <c r="R468" s="38"/>
      <c r="S468" s="38"/>
      <c r="T468" s="2"/>
      <c r="U468" s="2"/>
    </row>
    <row r="469" spans="1:64" ht="51.75" customHeight="1" x14ac:dyDescent="0.25">
      <c r="A469" s="234"/>
      <c r="B469" s="284"/>
      <c r="C469" s="326"/>
      <c r="D469" s="19" t="s">
        <v>18</v>
      </c>
      <c r="E469" s="20">
        <f>SUM(F469:Q469)</f>
        <v>0</v>
      </c>
      <c r="F469" s="21">
        <v>0</v>
      </c>
      <c r="G469" s="21">
        <v>0</v>
      </c>
      <c r="H469" s="21">
        <v>0</v>
      </c>
      <c r="I469" s="21">
        <v>0</v>
      </c>
      <c r="J469" s="21">
        <v>0</v>
      </c>
      <c r="K469" s="21">
        <v>0</v>
      </c>
      <c r="L469" s="21">
        <v>0</v>
      </c>
      <c r="M469" s="21">
        <v>0</v>
      </c>
      <c r="N469" s="21">
        <v>0</v>
      </c>
      <c r="O469" s="21">
        <v>0</v>
      </c>
      <c r="P469" s="21">
        <v>0</v>
      </c>
      <c r="Q469" s="21">
        <v>0</v>
      </c>
      <c r="R469" s="38"/>
      <c r="S469" s="38"/>
      <c r="T469" s="2"/>
      <c r="U469" s="2"/>
    </row>
    <row r="470" spans="1:64" ht="34.85" customHeight="1" x14ac:dyDescent="0.25">
      <c r="A470" s="234"/>
      <c r="B470" s="284"/>
      <c r="C470" s="326"/>
      <c r="D470" s="19" t="s">
        <v>19</v>
      </c>
      <c r="E470" s="20">
        <f>SUM(F470:Q470)</f>
        <v>11022.2</v>
      </c>
      <c r="F470" s="21"/>
      <c r="G470" s="21">
        <v>0</v>
      </c>
      <c r="H470" s="21">
        <v>0</v>
      </c>
      <c r="I470" s="21">
        <v>0</v>
      </c>
      <c r="J470" s="21">
        <v>0</v>
      </c>
      <c r="K470" s="21">
        <v>0</v>
      </c>
      <c r="L470" s="21">
        <v>0</v>
      </c>
      <c r="M470" s="21">
        <v>1290</v>
      </c>
      <c r="N470" s="21">
        <f>1583.7-1000+2216.3-967.8</f>
        <v>1832.2</v>
      </c>
      <c r="O470" s="21">
        <f>2800-500</f>
        <v>2300</v>
      </c>
      <c r="P470" s="21">
        <v>2800</v>
      </c>
      <c r="Q470" s="21">
        <v>2800</v>
      </c>
      <c r="R470" s="38"/>
      <c r="S470" s="38"/>
      <c r="T470" s="2"/>
      <c r="U470" s="2"/>
    </row>
    <row r="471" spans="1:64" ht="46.15" customHeight="1" x14ac:dyDescent="0.25">
      <c r="A471" s="235"/>
      <c r="B471" s="285"/>
      <c r="C471" s="327"/>
      <c r="D471" s="19" t="s">
        <v>21</v>
      </c>
      <c r="E471" s="20">
        <f>SUM(F471:Q471)</f>
        <v>0</v>
      </c>
      <c r="F471" s="21"/>
      <c r="G471" s="21">
        <v>0</v>
      </c>
      <c r="H471" s="21">
        <v>0</v>
      </c>
      <c r="I471" s="21">
        <v>0</v>
      </c>
      <c r="J471" s="21">
        <v>0</v>
      </c>
      <c r="K471" s="21">
        <v>0</v>
      </c>
      <c r="L471" s="21">
        <v>0</v>
      </c>
      <c r="M471" s="21">
        <v>0</v>
      </c>
      <c r="N471" s="21">
        <v>0</v>
      </c>
      <c r="O471" s="21">
        <v>0</v>
      </c>
      <c r="P471" s="21">
        <v>0</v>
      </c>
      <c r="Q471" s="21">
        <v>0</v>
      </c>
      <c r="R471" s="38"/>
      <c r="S471" s="38"/>
      <c r="T471" s="2"/>
      <c r="U471" s="2"/>
    </row>
    <row r="472" spans="1:64" ht="10.15" customHeight="1" x14ac:dyDescent="0.25">
      <c r="A472" s="4"/>
      <c r="B472" s="4"/>
      <c r="C472" s="69"/>
      <c r="D472" s="69"/>
      <c r="F472" s="7" t="e">
        <f>F14+#REF!</f>
        <v>#REF!</v>
      </c>
      <c r="G472" s="7"/>
    </row>
    <row r="473" spans="1:64" ht="5.9" customHeight="1" x14ac:dyDescent="0.25"/>
    <row r="474" spans="1:64" ht="45.2" customHeight="1" x14ac:dyDescent="0.3">
      <c r="A474" s="354" t="s">
        <v>214</v>
      </c>
      <c r="B474" s="355"/>
      <c r="C474" s="355"/>
      <c r="D474" s="355"/>
      <c r="E474" s="355"/>
      <c r="F474" s="355"/>
      <c r="G474" s="355"/>
      <c r="H474" s="355"/>
      <c r="I474" s="355"/>
      <c r="J474" s="355"/>
      <c r="K474" s="355"/>
      <c r="L474" s="355"/>
      <c r="M474" s="355"/>
      <c r="N474" s="355"/>
      <c r="O474" s="355"/>
      <c r="P474" s="355"/>
      <c r="Q474" s="355"/>
      <c r="R474" s="98"/>
      <c r="S474" s="98"/>
    </row>
    <row r="475" spans="1:64" ht="33.75" customHeight="1" x14ac:dyDescent="0.3">
      <c r="A475" s="354" t="s">
        <v>215</v>
      </c>
      <c r="B475" s="355"/>
      <c r="C475" s="355"/>
      <c r="D475" s="355"/>
      <c r="E475" s="355"/>
      <c r="F475" s="355"/>
      <c r="G475" s="355"/>
      <c r="H475" s="355"/>
      <c r="I475" s="355"/>
      <c r="J475" s="355"/>
      <c r="K475" s="355"/>
      <c r="L475" s="355"/>
      <c r="M475" s="355"/>
      <c r="N475" s="355"/>
      <c r="O475" s="355"/>
      <c r="P475" s="355"/>
      <c r="Q475" s="355"/>
      <c r="R475" s="98"/>
      <c r="S475" s="98"/>
    </row>
    <row r="476" spans="1:64" ht="33.4" customHeight="1" x14ac:dyDescent="0.3">
      <c r="A476" s="354" t="s">
        <v>216</v>
      </c>
      <c r="B476" s="355"/>
      <c r="C476" s="355"/>
      <c r="D476" s="355"/>
      <c r="E476" s="355"/>
      <c r="F476" s="355"/>
      <c r="G476" s="355"/>
      <c r="H476" s="355"/>
      <c r="I476" s="355"/>
      <c r="J476" s="355"/>
      <c r="K476" s="355"/>
      <c r="L476" s="355"/>
      <c r="M476" s="355"/>
      <c r="N476" s="355"/>
      <c r="O476" s="355"/>
      <c r="P476" s="355"/>
      <c r="Q476" s="355"/>
      <c r="R476" s="98"/>
      <c r="S476" s="98"/>
    </row>
    <row r="477" spans="1:64" ht="31.6" customHeight="1" x14ac:dyDescent="0.25">
      <c r="A477" s="353" t="s">
        <v>237</v>
      </c>
      <c r="B477" s="353"/>
      <c r="C477" s="353"/>
      <c r="D477" s="353"/>
      <c r="E477" s="353"/>
      <c r="F477" s="353"/>
      <c r="G477" s="353"/>
      <c r="H477" s="353"/>
      <c r="I477" s="353"/>
      <c r="J477" s="353"/>
      <c r="K477" s="353"/>
      <c r="L477" s="353"/>
      <c r="M477" s="353"/>
      <c r="N477" s="353"/>
      <c r="O477" s="353"/>
      <c r="P477" s="353"/>
      <c r="Q477" s="353"/>
    </row>
    <row r="478" spans="1:64" ht="31.6" hidden="1" customHeight="1" x14ac:dyDescent="0.3">
      <c r="A478" s="249" t="s">
        <v>1</v>
      </c>
      <c r="B478" s="251" t="s">
        <v>126</v>
      </c>
      <c r="C478" s="179"/>
      <c r="D478" s="251" t="s">
        <v>3</v>
      </c>
      <c r="E478" s="255" t="s">
        <v>165</v>
      </c>
      <c r="F478" s="256"/>
      <c r="G478" s="256"/>
      <c r="H478" s="256"/>
      <c r="I478" s="256"/>
      <c r="J478" s="256"/>
      <c r="K478" s="256"/>
      <c r="L478" s="256"/>
      <c r="M478" s="257"/>
      <c r="N478" s="257"/>
      <c r="O478" s="257"/>
      <c r="P478" s="257"/>
      <c r="Q478" s="257"/>
      <c r="R478" s="364"/>
      <c r="S478" s="364"/>
      <c r="T478" s="364"/>
      <c r="U478" s="364"/>
      <c r="V478" s="364"/>
      <c r="W478" s="364"/>
      <c r="X478" s="364"/>
      <c r="Y478" s="364"/>
      <c r="Z478" s="364"/>
      <c r="AA478" s="364"/>
      <c r="AB478" s="364"/>
      <c r="AC478" s="364"/>
      <c r="AD478" s="364"/>
      <c r="AE478" s="364"/>
      <c r="AF478" s="364"/>
      <c r="AG478" s="364"/>
      <c r="AH478" s="364"/>
      <c r="AI478" s="364"/>
      <c r="AJ478" s="364"/>
      <c r="AK478" s="364"/>
      <c r="AL478" s="364"/>
      <c r="AM478" s="364"/>
      <c r="AN478" s="364"/>
      <c r="AO478" s="364"/>
      <c r="AP478" s="364"/>
      <c r="AQ478" s="364"/>
      <c r="AR478" s="364"/>
      <c r="AS478" s="364"/>
      <c r="AT478" s="364"/>
      <c r="AU478" s="364"/>
      <c r="AV478" s="364"/>
      <c r="AW478" s="364"/>
      <c r="AX478" s="364"/>
      <c r="AY478" s="364"/>
      <c r="AZ478" s="364"/>
      <c r="BA478" s="364"/>
      <c r="BB478" s="364"/>
      <c r="BC478" s="364"/>
      <c r="BD478" s="364"/>
      <c r="BE478" s="364"/>
      <c r="BF478" s="364"/>
      <c r="BG478" s="364"/>
      <c r="BH478" s="364"/>
      <c r="BI478" s="364"/>
      <c r="BJ478" s="364"/>
      <c r="BK478" s="364"/>
      <c r="BL478" s="365"/>
    </row>
    <row r="479" spans="1:64" ht="31.6" hidden="1" customHeight="1" x14ac:dyDescent="0.25">
      <c r="A479" s="250"/>
      <c r="B479" s="252"/>
      <c r="C479" s="179"/>
      <c r="D479" s="252"/>
      <c r="E479" s="186" t="s">
        <v>4</v>
      </c>
      <c r="F479" s="187" t="s">
        <v>5</v>
      </c>
      <c r="G479" s="187" t="s">
        <v>211</v>
      </c>
      <c r="H479" s="187" t="s">
        <v>212</v>
      </c>
      <c r="I479" s="187" t="s">
        <v>6</v>
      </c>
      <c r="J479" s="187" t="s">
        <v>7</v>
      </c>
      <c r="K479" s="187" t="s">
        <v>8</v>
      </c>
      <c r="L479" s="187" t="s">
        <v>181</v>
      </c>
      <c r="M479" s="187" t="s">
        <v>187</v>
      </c>
      <c r="N479" s="187" t="s">
        <v>134</v>
      </c>
      <c r="O479" s="187" t="s">
        <v>135</v>
      </c>
      <c r="P479" s="187" t="s">
        <v>136</v>
      </c>
      <c r="Q479" s="187" t="s">
        <v>137</v>
      </c>
      <c r="BI479" s="187" t="s">
        <v>229</v>
      </c>
      <c r="BJ479" s="187" t="s">
        <v>230</v>
      </c>
      <c r="BK479" s="187" t="s">
        <v>231</v>
      </c>
      <c r="BL479" s="187" t="s">
        <v>232</v>
      </c>
    </row>
    <row r="480" spans="1:64" ht="15.75" hidden="1" customHeight="1" x14ac:dyDescent="0.25">
      <c r="A480" s="180">
        <v>1</v>
      </c>
      <c r="B480" s="10">
        <v>2</v>
      </c>
      <c r="C480" s="179"/>
      <c r="D480" s="10">
        <v>3</v>
      </c>
      <c r="E480" s="178">
        <v>4</v>
      </c>
      <c r="F480" s="9" t="s">
        <v>9</v>
      </c>
      <c r="G480" s="9" t="s">
        <v>9</v>
      </c>
      <c r="H480" s="9" t="s">
        <v>10</v>
      </c>
      <c r="I480" s="9" t="s">
        <v>11</v>
      </c>
      <c r="J480" s="9" t="s">
        <v>12</v>
      </c>
      <c r="K480" s="9" t="s">
        <v>13</v>
      </c>
      <c r="L480" s="9" t="s">
        <v>14</v>
      </c>
      <c r="M480" s="9" t="s">
        <v>124</v>
      </c>
      <c r="N480" s="9" t="s">
        <v>138</v>
      </c>
      <c r="O480" s="9" t="s">
        <v>139</v>
      </c>
      <c r="P480" s="9" t="s">
        <v>140</v>
      </c>
      <c r="Q480" s="9" t="s">
        <v>141</v>
      </c>
      <c r="BI480" s="9" t="s">
        <v>233</v>
      </c>
      <c r="BJ480" s="9" t="s">
        <v>234</v>
      </c>
      <c r="BK480" s="9" t="s">
        <v>235</v>
      </c>
      <c r="BL480" s="9" t="s">
        <v>236</v>
      </c>
    </row>
    <row r="481" spans="1:64" ht="40.950000000000003" customHeight="1" x14ac:dyDescent="0.25">
      <c r="A481" s="310" t="s">
        <v>228</v>
      </c>
      <c r="B481" s="242" t="s">
        <v>203</v>
      </c>
      <c r="C481" s="177"/>
      <c r="D481" s="16" t="s">
        <v>4</v>
      </c>
      <c r="E481" s="17">
        <f>SUM(F481:BL481)</f>
        <v>3726048.8000000003</v>
      </c>
      <c r="F481" s="21"/>
      <c r="G481" s="20">
        <f>SUM(G482:G485)</f>
        <v>0</v>
      </c>
      <c r="H481" s="20">
        <f t="shared" ref="H481:N481" si="141">SUM(H482:H485)</f>
        <v>0</v>
      </c>
      <c r="I481" s="20">
        <f t="shared" si="141"/>
        <v>0</v>
      </c>
      <c r="J481" s="20">
        <f t="shared" si="141"/>
        <v>0</v>
      </c>
      <c r="K481" s="20">
        <f t="shared" si="141"/>
        <v>0</v>
      </c>
      <c r="L481" s="20">
        <f t="shared" si="141"/>
        <v>0</v>
      </c>
      <c r="M481" s="20">
        <f t="shared" si="141"/>
        <v>0</v>
      </c>
      <c r="N481" s="20">
        <f t="shared" si="141"/>
        <v>0</v>
      </c>
      <c r="O481" s="20">
        <f>SUM(O482:O485)</f>
        <v>109417.2</v>
      </c>
      <c r="P481" s="20">
        <f>SUM(P482:P485)</f>
        <v>709102.20000000007</v>
      </c>
      <c r="Q481" s="20">
        <f>SUM(Q482:Q485)</f>
        <v>502169.59999999998</v>
      </c>
      <c r="R481" s="181"/>
      <c r="S481" s="181"/>
      <c r="T481" s="182"/>
      <c r="U481" s="182"/>
      <c r="V481" s="183"/>
      <c r="W481" s="183"/>
      <c r="X481" s="183"/>
      <c r="Y481" s="183"/>
      <c r="Z481" s="183"/>
      <c r="AA481" s="183"/>
      <c r="AB481" s="183"/>
      <c r="AC481" s="183"/>
      <c r="AD481" s="183"/>
      <c r="AE481" s="183"/>
      <c r="AF481" s="183"/>
      <c r="AG481" s="183"/>
      <c r="AH481" s="183"/>
      <c r="AI481" s="183"/>
      <c r="AJ481" s="183"/>
      <c r="AK481" s="183"/>
      <c r="AL481" s="183"/>
      <c r="AM481" s="183"/>
      <c r="AN481" s="183"/>
      <c r="AO481" s="183"/>
      <c r="AP481" s="183"/>
      <c r="AQ481" s="183"/>
      <c r="AR481" s="183"/>
      <c r="AS481" s="183"/>
      <c r="AT481" s="183"/>
      <c r="AU481" s="183"/>
      <c r="AV481" s="183"/>
      <c r="AW481" s="183"/>
      <c r="AX481" s="183"/>
      <c r="AY481" s="183"/>
      <c r="AZ481" s="183"/>
      <c r="BA481" s="183"/>
      <c r="BB481" s="183"/>
      <c r="BC481" s="183"/>
      <c r="BD481" s="183"/>
      <c r="BE481" s="183"/>
      <c r="BF481" s="183"/>
      <c r="BG481" s="183"/>
      <c r="BH481" s="183"/>
      <c r="BI481" s="181">
        <f>SUM(BI482:BI485)</f>
        <v>501916.20000000007</v>
      </c>
      <c r="BJ481" s="181">
        <f>SUM(BJ482:BJ485)</f>
        <v>501915.4</v>
      </c>
      <c r="BK481" s="181">
        <f>SUM(BK482:BK485)</f>
        <v>501851.10000000003</v>
      </c>
      <c r="BL481" s="181">
        <f>SUM(BL482:BL485)</f>
        <v>899677.1</v>
      </c>
    </row>
    <row r="482" spans="1:64" ht="26.85" customHeight="1" x14ac:dyDescent="0.25">
      <c r="A482" s="287"/>
      <c r="B482" s="325"/>
      <c r="C482" s="177"/>
      <c r="D482" s="19" t="s">
        <v>17</v>
      </c>
      <c r="E482" s="20">
        <f>SUM(F482:BL482)</f>
        <v>1648125.3</v>
      </c>
      <c r="F482" s="21"/>
      <c r="G482" s="21">
        <v>0</v>
      </c>
      <c r="H482" s="21">
        <v>0</v>
      </c>
      <c r="I482" s="21">
        <v>0</v>
      </c>
      <c r="J482" s="21">
        <v>0</v>
      </c>
      <c r="K482" s="21">
        <v>0</v>
      </c>
      <c r="L482" s="21">
        <v>0</v>
      </c>
      <c r="M482" s="21">
        <v>0</v>
      </c>
      <c r="N482" s="21">
        <v>0</v>
      </c>
      <c r="O482" s="21">
        <v>105073.3</v>
      </c>
      <c r="P482" s="21">
        <v>680950.9</v>
      </c>
      <c r="Q482" s="21">
        <v>172408.1</v>
      </c>
      <c r="R482" s="172"/>
      <c r="S482" s="172"/>
      <c r="T482" s="182"/>
      <c r="U482" s="182"/>
      <c r="V482" s="183"/>
      <c r="W482" s="183"/>
      <c r="X482" s="183"/>
      <c r="Y482" s="183"/>
      <c r="Z482" s="183"/>
      <c r="AA482" s="183"/>
      <c r="AB482" s="183"/>
      <c r="AC482" s="183"/>
      <c r="AD482" s="183"/>
      <c r="AE482" s="183"/>
      <c r="AF482" s="183"/>
      <c r="AG482" s="183"/>
      <c r="AH482" s="183"/>
      <c r="AI482" s="183"/>
      <c r="AJ482" s="183"/>
      <c r="AK482" s="183"/>
      <c r="AL482" s="183"/>
      <c r="AM482" s="183"/>
      <c r="AN482" s="183"/>
      <c r="AO482" s="183"/>
      <c r="AP482" s="183"/>
      <c r="AQ482" s="183"/>
      <c r="AR482" s="183"/>
      <c r="AS482" s="183"/>
      <c r="AT482" s="183"/>
      <c r="AU482" s="183"/>
      <c r="AV482" s="183"/>
      <c r="AW482" s="183"/>
      <c r="AX482" s="183"/>
      <c r="AY482" s="183"/>
      <c r="AZ482" s="183"/>
      <c r="BA482" s="183"/>
      <c r="BB482" s="183"/>
      <c r="BC482" s="183"/>
      <c r="BD482" s="183"/>
      <c r="BE482" s="183"/>
      <c r="BF482" s="183"/>
      <c r="BG482" s="183"/>
      <c r="BH482" s="183"/>
      <c r="BI482" s="182">
        <v>172404.1</v>
      </c>
      <c r="BJ482" s="182">
        <v>172399.5</v>
      </c>
      <c r="BK482" s="182">
        <v>172500.9</v>
      </c>
      <c r="BL482" s="182">
        <v>172388.5</v>
      </c>
    </row>
    <row r="483" spans="1:64" ht="29" customHeight="1" x14ac:dyDescent="0.25">
      <c r="A483" s="284"/>
      <c r="B483" s="325"/>
      <c r="C483" s="177"/>
      <c r="D483" s="19" t="s">
        <v>18</v>
      </c>
      <c r="E483" s="20">
        <f>SUM(F483:BL483)</f>
        <v>1839209.1</v>
      </c>
      <c r="F483" s="21"/>
      <c r="G483" s="21">
        <v>0</v>
      </c>
      <c r="H483" s="21">
        <v>0</v>
      </c>
      <c r="I483" s="21">
        <v>0</v>
      </c>
      <c r="J483" s="21">
        <v>0</v>
      </c>
      <c r="K483" s="21">
        <v>0</v>
      </c>
      <c r="L483" s="21">
        <v>0</v>
      </c>
      <c r="M483" s="21">
        <v>0</v>
      </c>
      <c r="N483" s="21">
        <v>0</v>
      </c>
      <c r="O483" s="21">
        <v>3249.7</v>
      </c>
      <c r="P483" s="21">
        <v>21060.3</v>
      </c>
      <c r="Q483" s="21">
        <v>287980.5</v>
      </c>
      <c r="R483" s="172"/>
      <c r="S483" s="172"/>
      <c r="T483" s="182"/>
      <c r="U483" s="182"/>
      <c r="V483" s="183"/>
      <c r="W483" s="183"/>
      <c r="X483" s="183"/>
      <c r="Y483" s="183"/>
      <c r="Z483" s="183"/>
      <c r="AA483" s="183"/>
      <c r="AB483" s="183"/>
      <c r="AC483" s="183"/>
      <c r="AD483" s="183"/>
      <c r="AE483" s="183"/>
      <c r="AF483" s="183"/>
      <c r="AG483" s="183"/>
      <c r="AH483" s="183"/>
      <c r="AI483" s="183"/>
      <c r="AJ483" s="183"/>
      <c r="AK483" s="183"/>
      <c r="AL483" s="183"/>
      <c r="AM483" s="183"/>
      <c r="AN483" s="183"/>
      <c r="AO483" s="183"/>
      <c r="AP483" s="183"/>
      <c r="AQ483" s="183"/>
      <c r="AR483" s="183"/>
      <c r="AS483" s="183"/>
      <c r="AT483" s="183"/>
      <c r="AU483" s="183"/>
      <c r="AV483" s="183"/>
      <c r="AW483" s="183"/>
      <c r="AX483" s="183"/>
      <c r="AY483" s="183"/>
      <c r="AZ483" s="183"/>
      <c r="BA483" s="183"/>
      <c r="BB483" s="183"/>
      <c r="BC483" s="183"/>
      <c r="BD483" s="183"/>
      <c r="BE483" s="183"/>
      <c r="BF483" s="183"/>
      <c r="BG483" s="183"/>
      <c r="BH483" s="183"/>
      <c r="BI483" s="182">
        <v>286326.7</v>
      </c>
      <c r="BJ483" s="182">
        <v>285376.90000000002</v>
      </c>
      <c r="BK483" s="182">
        <v>281273.40000000002</v>
      </c>
      <c r="BL483" s="182">
        <v>673941.6</v>
      </c>
    </row>
    <row r="484" spans="1:64" ht="30.8" customHeight="1" x14ac:dyDescent="0.25">
      <c r="A484" s="284"/>
      <c r="B484" s="325"/>
      <c r="C484" s="177"/>
      <c r="D484" s="19" t="s">
        <v>19</v>
      </c>
      <c r="E484" s="20">
        <f>SUM(F484:BL484)</f>
        <v>238714.4</v>
      </c>
      <c r="F484" s="21"/>
      <c r="G484" s="21">
        <v>0</v>
      </c>
      <c r="H484" s="21">
        <v>0</v>
      </c>
      <c r="I484" s="21">
        <v>0</v>
      </c>
      <c r="J484" s="21">
        <v>0</v>
      </c>
      <c r="K484" s="21">
        <v>0</v>
      </c>
      <c r="L484" s="21">
        <v>0</v>
      </c>
      <c r="M484" s="21">
        <v>0</v>
      </c>
      <c r="N484" s="21">
        <v>0</v>
      </c>
      <c r="O484" s="21">
        <v>1094.2</v>
      </c>
      <c r="P484" s="21">
        <v>7091</v>
      </c>
      <c r="Q484" s="21">
        <f>4650.4+37130.6</f>
        <v>41781</v>
      </c>
      <c r="R484" s="172"/>
      <c r="S484" s="172"/>
      <c r="T484" s="182"/>
      <c r="U484" s="182"/>
      <c r="V484" s="183"/>
      <c r="W484" s="183"/>
      <c r="X484" s="183"/>
      <c r="Y484" s="183"/>
      <c r="Z484" s="183"/>
      <c r="AA484" s="183"/>
      <c r="AB484" s="183"/>
      <c r="AC484" s="183"/>
      <c r="AD484" s="183"/>
      <c r="AE484" s="183"/>
      <c r="AF484" s="183"/>
      <c r="AG484" s="183"/>
      <c r="AH484" s="183"/>
      <c r="AI484" s="183"/>
      <c r="AJ484" s="183"/>
      <c r="AK484" s="183"/>
      <c r="AL484" s="183"/>
      <c r="AM484" s="183"/>
      <c r="AN484" s="183"/>
      <c r="AO484" s="183"/>
      <c r="AP484" s="183"/>
      <c r="AQ484" s="183"/>
      <c r="AR484" s="183"/>
      <c r="AS484" s="183"/>
      <c r="AT484" s="183"/>
      <c r="AU484" s="183"/>
      <c r="AV484" s="183"/>
      <c r="AW484" s="183"/>
      <c r="AX484" s="183"/>
      <c r="AY484" s="183"/>
      <c r="AZ484" s="183"/>
      <c r="BA484" s="183"/>
      <c r="BB484" s="183"/>
      <c r="BC484" s="183"/>
      <c r="BD484" s="183"/>
      <c r="BE484" s="183"/>
      <c r="BF484" s="183"/>
      <c r="BG484" s="183"/>
      <c r="BH484" s="183"/>
      <c r="BI484" s="182">
        <f>4633.6+38551.8</f>
        <v>43185.4</v>
      </c>
      <c r="BJ484" s="182">
        <f>4624+39515</f>
        <v>44139</v>
      </c>
      <c r="BK484" s="182">
        <f>4583.6+43493.2</f>
        <v>48076.799999999996</v>
      </c>
      <c r="BL484" s="182">
        <f>8548.8+44798.2</f>
        <v>53347</v>
      </c>
    </row>
    <row r="485" spans="1:64" ht="40.950000000000003" customHeight="1" x14ac:dyDescent="0.25">
      <c r="A485" s="285"/>
      <c r="B485" s="328"/>
      <c r="C485" s="177"/>
      <c r="D485" s="19" t="s">
        <v>21</v>
      </c>
      <c r="E485" s="20">
        <f>SUM(F485:BL485)</f>
        <v>0</v>
      </c>
      <c r="F485" s="21"/>
      <c r="G485" s="21">
        <v>0</v>
      </c>
      <c r="H485" s="21">
        <v>0</v>
      </c>
      <c r="I485" s="21">
        <v>0</v>
      </c>
      <c r="J485" s="21">
        <v>0</v>
      </c>
      <c r="K485" s="21">
        <v>0</v>
      </c>
      <c r="L485" s="21">
        <v>0</v>
      </c>
      <c r="M485" s="21">
        <v>0</v>
      </c>
      <c r="N485" s="21">
        <v>0</v>
      </c>
      <c r="O485" s="189">
        <v>0</v>
      </c>
      <c r="P485" s="189">
        <v>0</v>
      </c>
      <c r="Q485" s="18">
        <v>0</v>
      </c>
      <c r="R485" s="18"/>
      <c r="S485" s="18"/>
      <c r="T485" s="184"/>
      <c r="U485" s="184"/>
      <c r="V485" s="185"/>
      <c r="W485" s="185"/>
      <c r="X485" s="185"/>
      <c r="Y485" s="185"/>
      <c r="Z485" s="185"/>
      <c r="AA485" s="185"/>
      <c r="AB485" s="185"/>
      <c r="AC485" s="185"/>
      <c r="AD485" s="185"/>
      <c r="AE485" s="185"/>
      <c r="AF485" s="185"/>
      <c r="AG485" s="185"/>
      <c r="AH485" s="185"/>
      <c r="AI485" s="185"/>
      <c r="AJ485" s="185"/>
      <c r="AK485" s="185"/>
      <c r="AL485" s="185"/>
      <c r="AM485" s="185"/>
      <c r="AN485" s="185"/>
      <c r="AO485" s="185"/>
      <c r="AP485" s="185"/>
      <c r="AQ485" s="185"/>
      <c r="AR485" s="185"/>
      <c r="AS485" s="185"/>
      <c r="AT485" s="185"/>
      <c r="AU485" s="185"/>
      <c r="AV485" s="185"/>
      <c r="AW485" s="185"/>
      <c r="AX485" s="185"/>
      <c r="AY485" s="185"/>
      <c r="AZ485" s="185"/>
      <c r="BA485" s="185"/>
      <c r="BB485" s="185"/>
      <c r="BC485" s="185"/>
      <c r="BD485" s="185"/>
      <c r="BE485" s="185"/>
      <c r="BF485" s="185"/>
      <c r="BG485" s="185"/>
      <c r="BH485" s="185"/>
      <c r="BI485" s="18">
        <v>0</v>
      </c>
      <c r="BJ485" s="18">
        <v>0</v>
      </c>
      <c r="BK485" s="18">
        <v>0</v>
      </c>
      <c r="BL485" s="18">
        <v>0</v>
      </c>
    </row>
    <row r="487" spans="1:64" ht="15.05" x14ac:dyDescent="0.25">
      <c r="A487" s="249" t="s">
        <v>1</v>
      </c>
      <c r="B487" s="251" t="s">
        <v>126</v>
      </c>
      <c r="C487" s="179"/>
      <c r="D487" s="251" t="s">
        <v>3</v>
      </c>
      <c r="E487" s="366" t="s">
        <v>229</v>
      </c>
      <c r="F487" s="193" t="s">
        <v>230</v>
      </c>
      <c r="G487" s="367" t="s">
        <v>230</v>
      </c>
      <c r="H487" s="366" t="s">
        <v>231</v>
      </c>
      <c r="I487" s="366" t="s">
        <v>232</v>
      </c>
    </row>
    <row r="488" spans="1:64" ht="30.15" customHeight="1" x14ac:dyDescent="0.25">
      <c r="A488" s="250"/>
      <c r="B488" s="252"/>
      <c r="C488" s="179"/>
      <c r="D488" s="252"/>
      <c r="E488" s="366"/>
      <c r="F488" s="188"/>
      <c r="G488" s="368"/>
      <c r="H488" s="366"/>
      <c r="I488" s="366"/>
    </row>
    <row r="489" spans="1:64" ht="17.7" customHeight="1" x14ac:dyDescent="0.25">
      <c r="A489" s="180"/>
      <c r="B489" s="10"/>
      <c r="C489" s="179"/>
      <c r="D489" s="10"/>
      <c r="E489" s="193" t="s">
        <v>233</v>
      </c>
      <c r="F489" s="193" t="s">
        <v>234</v>
      </c>
      <c r="G489" s="193" t="s">
        <v>234</v>
      </c>
      <c r="H489" s="193" t="s">
        <v>235</v>
      </c>
      <c r="I489" s="193" t="s">
        <v>236</v>
      </c>
    </row>
    <row r="490" spans="1:64" ht="22.95" customHeight="1" x14ac:dyDescent="0.25">
      <c r="A490" s="310" t="s">
        <v>228</v>
      </c>
      <c r="B490" s="242" t="s">
        <v>203</v>
      </c>
      <c r="C490" s="177"/>
      <c r="D490" s="16" t="s">
        <v>4</v>
      </c>
      <c r="E490" s="17">
        <f>SUM(E491:E494)</f>
        <v>501916.20000000007</v>
      </c>
      <c r="F490" s="17">
        <f>SUM(F491:F494)</f>
        <v>501915.4</v>
      </c>
      <c r="G490" s="17">
        <f>SUM(G491:G494)</f>
        <v>501915.4</v>
      </c>
      <c r="H490" s="17">
        <f>SUM(H491:H494)</f>
        <v>501851.10000000003</v>
      </c>
      <c r="I490" s="17">
        <f>SUM(I491:I494)</f>
        <v>899677.1</v>
      </c>
    </row>
    <row r="491" spans="1:64" ht="22.95" customHeight="1" x14ac:dyDescent="0.25">
      <c r="A491" s="287"/>
      <c r="B491" s="325"/>
      <c r="C491" s="177"/>
      <c r="D491" s="19" t="s">
        <v>17</v>
      </c>
      <c r="E491" s="188">
        <v>172404.1</v>
      </c>
      <c r="F491" s="188">
        <v>172399.5</v>
      </c>
      <c r="G491" s="188">
        <v>172399.5</v>
      </c>
      <c r="H491" s="188">
        <v>172500.9</v>
      </c>
      <c r="I491" s="188">
        <v>172388.5</v>
      </c>
    </row>
    <row r="492" spans="1:64" ht="20.3" customHeight="1" x14ac:dyDescent="0.25">
      <c r="A492" s="284"/>
      <c r="B492" s="325"/>
      <c r="C492" s="177"/>
      <c r="D492" s="19" t="s">
        <v>18</v>
      </c>
      <c r="E492" s="188">
        <v>286326.7</v>
      </c>
      <c r="F492" s="188">
        <v>285376.90000000002</v>
      </c>
      <c r="G492" s="188">
        <v>285376.90000000002</v>
      </c>
      <c r="H492" s="188">
        <v>281273.40000000002</v>
      </c>
      <c r="I492" s="188">
        <v>673941.6</v>
      </c>
    </row>
    <row r="493" spans="1:64" ht="20.3" customHeight="1" x14ac:dyDescent="0.25">
      <c r="A493" s="284"/>
      <c r="B493" s="325"/>
      <c r="C493" s="177"/>
      <c r="D493" s="19" t="s">
        <v>19</v>
      </c>
      <c r="E493" s="188">
        <f>4633.6+38551.8</f>
        <v>43185.4</v>
      </c>
      <c r="F493" s="188">
        <f>4624+39515</f>
        <v>44139</v>
      </c>
      <c r="G493" s="188">
        <f>4624+39515</f>
        <v>44139</v>
      </c>
      <c r="H493" s="188">
        <f>4583.6+43493.2</f>
        <v>48076.799999999996</v>
      </c>
      <c r="I493" s="188">
        <f>8548.8+44798.2</f>
        <v>53347</v>
      </c>
    </row>
    <row r="494" spans="1:64" ht="33.4" customHeight="1" x14ac:dyDescent="0.25">
      <c r="A494" s="285"/>
      <c r="B494" s="328"/>
      <c r="C494" s="177"/>
      <c r="D494" s="19" t="s">
        <v>21</v>
      </c>
      <c r="E494" s="21">
        <v>0</v>
      </c>
      <c r="F494" s="21">
        <v>0</v>
      </c>
      <c r="G494" s="21">
        <v>0</v>
      </c>
      <c r="H494" s="21">
        <v>0</v>
      </c>
      <c r="I494" s="21">
        <v>0</v>
      </c>
    </row>
  </sheetData>
  <mergeCells count="201">
    <mergeCell ref="A478:A479"/>
    <mergeCell ref="B478:B479"/>
    <mergeCell ref="D478:D479"/>
    <mergeCell ref="E478:BL478"/>
    <mergeCell ref="A487:A488"/>
    <mergeCell ref="B487:B488"/>
    <mergeCell ref="D487:D488"/>
    <mergeCell ref="A490:A494"/>
    <mergeCell ref="B490:B494"/>
    <mergeCell ref="E487:E488"/>
    <mergeCell ref="G487:G488"/>
    <mergeCell ref="H487:H488"/>
    <mergeCell ref="I487:I488"/>
    <mergeCell ref="A481:A485"/>
    <mergeCell ref="B481:B485"/>
    <mergeCell ref="A477:Q477"/>
    <mergeCell ref="B400:B403"/>
    <mergeCell ref="A475:Q475"/>
    <mergeCell ref="A476:Q476"/>
    <mergeCell ref="A330:A331"/>
    <mergeCell ref="C457:C461"/>
    <mergeCell ref="B462:B466"/>
    <mergeCell ref="C462:C466"/>
    <mergeCell ref="B467:B471"/>
    <mergeCell ref="C467:C471"/>
    <mergeCell ref="A474:Q474"/>
    <mergeCell ref="A446:A451"/>
    <mergeCell ref="B446:B451"/>
    <mergeCell ref="A452:A455"/>
    <mergeCell ref="B452:B455"/>
    <mergeCell ref="A457:A461"/>
    <mergeCell ref="B457:B458"/>
    <mergeCell ref="B427:B429"/>
    <mergeCell ref="C427:C432"/>
    <mergeCell ref="A434:A437"/>
    <mergeCell ref="B434:B437"/>
    <mergeCell ref="C434:C439"/>
    <mergeCell ref="B440:B443"/>
    <mergeCell ref="C440:C444"/>
    <mergeCell ref="A405:A408"/>
    <mergeCell ref="B405:B408"/>
    <mergeCell ref="A410:A414"/>
    <mergeCell ref="B410:B414"/>
    <mergeCell ref="C410:C414"/>
    <mergeCell ref="C415:C420"/>
    <mergeCell ref="A340:A344"/>
    <mergeCell ref="B340:B344"/>
    <mergeCell ref="A390:A394"/>
    <mergeCell ref="B390:B394"/>
    <mergeCell ref="C390:C394"/>
    <mergeCell ref="A395:A399"/>
    <mergeCell ref="B395:B399"/>
    <mergeCell ref="C400:C404"/>
    <mergeCell ref="A402:A403"/>
    <mergeCell ref="A375:A379"/>
    <mergeCell ref="B375:B379"/>
    <mergeCell ref="C380:C384"/>
    <mergeCell ref="B385:B389"/>
    <mergeCell ref="C385:C389"/>
    <mergeCell ref="B380:B383"/>
    <mergeCell ref="C360:C364"/>
    <mergeCell ref="B365:B368"/>
    <mergeCell ref="C365:C369"/>
    <mergeCell ref="C370:C374"/>
    <mergeCell ref="C345:C349"/>
    <mergeCell ref="A350:A352"/>
    <mergeCell ref="B350:B352"/>
    <mergeCell ref="B355:B359"/>
    <mergeCell ref="C355:C359"/>
    <mergeCell ref="A318:A319"/>
    <mergeCell ref="B318:B319"/>
    <mergeCell ref="A325:A326"/>
    <mergeCell ref="B325:B326"/>
    <mergeCell ref="B335:B337"/>
    <mergeCell ref="B370:B373"/>
    <mergeCell ref="B330:B332"/>
    <mergeCell ref="B360:B363"/>
    <mergeCell ref="B345:B349"/>
    <mergeCell ref="A296:A300"/>
    <mergeCell ref="B296:B300"/>
    <mergeCell ref="A301:A303"/>
    <mergeCell ref="B301:B303"/>
    <mergeCell ref="A306:A307"/>
    <mergeCell ref="A281:A285"/>
    <mergeCell ref="B281:B284"/>
    <mergeCell ref="A286:A290"/>
    <mergeCell ref="B286:B289"/>
    <mergeCell ref="A291:A295"/>
    <mergeCell ref="B291:B295"/>
    <mergeCell ref="B306:B308"/>
    <mergeCell ref="A266:A270"/>
    <mergeCell ref="B266:B270"/>
    <mergeCell ref="A271:A275"/>
    <mergeCell ref="B271:B275"/>
    <mergeCell ref="A276:A280"/>
    <mergeCell ref="B276:B279"/>
    <mergeCell ref="B245:B248"/>
    <mergeCell ref="A251:A252"/>
    <mergeCell ref="B251:B252"/>
    <mergeCell ref="A256:A260"/>
    <mergeCell ref="B256:B259"/>
    <mergeCell ref="B261:B262"/>
    <mergeCell ref="A230:A233"/>
    <mergeCell ref="B230:B233"/>
    <mergeCell ref="B235:B236"/>
    <mergeCell ref="C235:C239"/>
    <mergeCell ref="B240:B244"/>
    <mergeCell ref="C240:C244"/>
    <mergeCell ref="B211:B213"/>
    <mergeCell ref="B214:B217"/>
    <mergeCell ref="A220:A222"/>
    <mergeCell ref="B220:B222"/>
    <mergeCell ref="C220:C224"/>
    <mergeCell ref="A225:A229"/>
    <mergeCell ref="B225:B229"/>
    <mergeCell ref="B192:B194"/>
    <mergeCell ref="C192:C196"/>
    <mergeCell ref="A197:A201"/>
    <mergeCell ref="B197:B201"/>
    <mergeCell ref="C197:C201"/>
    <mergeCell ref="B202:B203"/>
    <mergeCell ref="C202:C207"/>
    <mergeCell ref="A182:A186"/>
    <mergeCell ref="B182:B186"/>
    <mergeCell ref="C182:C186"/>
    <mergeCell ref="A187:A191"/>
    <mergeCell ref="B187:B191"/>
    <mergeCell ref="C187:C191"/>
    <mergeCell ref="B155:B159"/>
    <mergeCell ref="B160:B164"/>
    <mergeCell ref="B150:B154"/>
    <mergeCell ref="A130:A134"/>
    <mergeCell ref="B130:B134"/>
    <mergeCell ref="A135:A137"/>
    <mergeCell ref="B135:B137"/>
    <mergeCell ref="A99:A103"/>
    <mergeCell ref="B99:B103"/>
    <mergeCell ref="A104:A106"/>
    <mergeCell ref="A109:A113"/>
    <mergeCell ref="B109:B112"/>
    <mergeCell ref="B104:B108"/>
    <mergeCell ref="B53:B57"/>
    <mergeCell ref="C53:C57"/>
    <mergeCell ref="A58:A62"/>
    <mergeCell ref="B58:B62"/>
    <mergeCell ref="C58:C62"/>
    <mergeCell ref="B140:B142"/>
    <mergeCell ref="A115:A119"/>
    <mergeCell ref="B115:B119"/>
    <mergeCell ref="A120:A124"/>
    <mergeCell ref="B120:B124"/>
    <mergeCell ref="A125:A126"/>
    <mergeCell ref="B125:B129"/>
    <mergeCell ref="B79:B81"/>
    <mergeCell ref="C79:C83"/>
    <mergeCell ref="A81:A83"/>
    <mergeCell ref="B84:B88"/>
    <mergeCell ref="C84:C88"/>
    <mergeCell ref="B89:B93"/>
    <mergeCell ref="C89:C93"/>
    <mergeCell ref="O1:Q1"/>
    <mergeCell ref="O2:Q2"/>
    <mergeCell ref="O3:Q3"/>
    <mergeCell ref="O5:Q5"/>
    <mergeCell ref="O6:Q6"/>
    <mergeCell ref="A7:Q7"/>
    <mergeCell ref="A32:A35"/>
    <mergeCell ref="B32:B36"/>
    <mergeCell ref="A38:A42"/>
    <mergeCell ref="B38:B42"/>
    <mergeCell ref="C38:C42"/>
    <mergeCell ref="A14:A22"/>
    <mergeCell ref="B14:B22"/>
    <mergeCell ref="C14:C22"/>
    <mergeCell ref="A23:A31"/>
    <mergeCell ref="B23:B31"/>
    <mergeCell ref="C23:C31"/>
    <mergeCell ref="B415:B418"/>
    <mergeCell ref="B145:B149"/>
    <mergeCell ref="B165:B169"/>
    <mergeCell ref="B170:B174"/>
    <mergeCell ref="B8:H8"/>
    <mergeCell ref="A9:A10"/>
    <mergeCell ref="B9:B10"/>
    <mergeCell ref="C9:C10"/>
    <mergeCell ref="D9:D10"/>
    <mergeCell ref="E9:Q9"/>
    <mergeCell ref="A43:A47"/>
    <mergeCell ref="B43:B47"/>
    <mergeCell ref="C43:C47"/>
    <mergeCell ref="A63:A67"/>
    <mergeCell ref="B63:B67"/>
    <mergeCell ref="C63:C67"/>
    <mergeCell ref="C68:C73"/>
    <mergeCell ref="A74:A77"/>
    <mergeCell ref="B74:B77"/>
    <mergeCell ref="C48:C52"/>
    <mergeCell ref="A53:A57"/>
    <mergeCell ref="B68:B70"/>
    <mergeCell ref="B48:B51"/>
    <mergeCell ref="B94:B98"/>
  </mergeCells>
  <pageMargins left="0.51181102362204722" right="0.51181102362204722" top="0.35433070866141736" bottom="0.35433070866141736" header="0.31496062992125984" footer="0.31496062992125984"/>
  <pageSetup paperSize="9" scale="5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3</vt:lpstr>
      <vt:lpstr>'приложение 3'!OLE_LINK1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Kovaleva</cp:lastModifiedBy>
  <cp:lastPrinted>2023-10-03T06:26:08Z</cp:lastPrinted>
  <dcterms:created xsi:type="dcterms:W3CDTF">2018-03-29T02:25:17Z</dcterms:created>
  <dcterms:modified xsi:type="dcterms:W3CDTF">2023-10-03T06:26:36Z</dcterms:modified>
</cp:coreProperties>
</file>