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45" yWindow="30" windowWidth="3990" windowHeight="11775" tabRatio="223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571" i="1"/>
  <c r="E570"/>
  <c r="E569" s="1"/>
  <c r="E563"/>
  <c r="E539"/>
  <c r="E427"/>
  <c r="E425"/>
  <c r="E421"/>
  <c r="E414"/>
  <c r="E413"/>
  <c r="E53"/>
  <c r="E50" s="1"/>
  <c r="E49" s="1"/>
  <c r="E25"/>
  <c r="E21"/>
  <c r="E19"/>
  <c r="E17"/>
  <c r="E15"/>
  <c r="E14"/>
  <c r="E617" l="1"/>
  <c r="E558"/>
  <c r="E552"/>
  <c r="E303"/>
  <c r="E287"/>
  <c r="E272"/>
  <c r="E100"/>
  <c r="E70"/>
  <c r="E67"/>
  <c r="E66"/>
  <c r="E65"/>
  <c r="E526"/>
  <c r="E520"/>
  <c r="E519"/>
  <c r="E515"/>
  <c r="E449"/>
  <c r="E492"/>
  <c r="E491"/>
  <c r="E490"/>
  <c r="E489"/>
  <c r="E487"/>
  <c r="E486"/>
  <c r="E485"/>
  <c r="E461"/>
  <c r="E460"/>
  <c r="E458"/>
  <c r="E444"/>
  <c r="E442"/>
  <c r="E441"/>
  <c r="E431"/>
  <c r="E426"/>
  <c r="E422"/>
  <c r="E420"/>
  <c r="E411"/>
  <c r="E409"/>
  <c r="E393"/>
  <c r="E396"/>
  <c r="E395"/>
  <c r="E390"/>
  <c r="E142"/>
  <c r="E141"/>
  <c r="E137"/>
  <c r="E136"/>
  <c r="E132"/>
  <c r="E131"/>
  <c r="E129"/>
  <c r="E123"/>
  <c r="E79"/>
  <c r="E76"/>
  <c r="E376"/>
  <c r="E377"/>
  <c r="E365"/>
  <c r="E366"/>
  <c r="E362" l="1"/>
  <c r="E356"/>
  <c r="E354"/>
  <c r="E344"/>
  <c r="E292"/>
  <c r="E281"/>
  <c r="E269"/>
  <c r="E230"/>
  <c r="E222"/>
  <c r="E212"/>
  <c r="E210"/>
  <c r="E206"/>
  <c r="E77" l="1"/>
  <c r="E58"/>
  <c r="E59"/>
  <c r="E60"/>
  <c r="E61"/>
  <c r="E52"/>
  <c r="E612"/>
  <c r="E598"/>
  <c r="E591"/>
  <c r="E590" s="1"/>
  <c r="E589"/>
  <c r="E383"/>
  <c r="E382"/>
  <c r="E381"/>
  <c r="E339"/>
  <c r="E335"/>
  <c r="E301"/>
  <c r="E244"/>
  <c r="E265"/>
  <c r="E260"/>
  <c r="E213"/>
  <c r="E208"/>
  <c r="E201"/>
  <c r="E200"/>
  <c r="E194"/>
  <c r="E192"/>
  <c r="E190"/>
  <c r="E188"/>
  <c r="E180"/>
  <c r="E178"/>
  <c r="E162"/>
  <c r="E113" l="1"/>
  <c r="E106"/>
  <c r="E81"/>
  <c r="E78"/>
  <c r="E71"/>
  <c r="E69"/>
  <c r="E47"/>
  <c r="E46"/>
  <c r="E31"/>
  <c r="E540"/>
  <c r="E85"/>
  <c r="E26"/>
  <c r="E24"/>
  <c r="E23"/>
  <c r="E22"/>
  <c r="E20"/>
  <c r="E18"/>
  <c r="E16"/>
  <c r="E567"/>
  <c r="E565"/>
  <c r="E279"/>
  <c r="E583"/>
  <c r="E582"/>
  <c r="E580"/>
  <c r="E579"/>
  <c r="E577"/>
  <c r="E576"/>
  <c r="E572"/>
  <c r="E481"/>
  <c r="E480"/>
  <c r="E465"/>
  <c r="E464"/>
  <c r="E463"/>
  <c r="E436"/>
  <c r="E428" l="1"/>
  <c r="E404"/>
  <c r="E400"/>
  <c r="E392"/>
  <c r="E547"/>
  <c r="E173"/>
  <c r="E181"/>
  <c r="E239"/>
  <c r="E217"/>
  <c r="E203"/>
  <c r="E88"/>
  <c r="E30" l="1"/>
  <c r="E375"/>
  <c r="E360"/>
  <c r="E456" l="1"/>
  <c r="E473"/>
  <c r="E472" s="1"/>
  <c r="E73"/>
  <c r="E308"/>
  <c r="E278"/>
  <c r="E282"/>
  <c r="E275"/>
  <c r="E358"/>
  <c r="E348"/>
  <c r="E306"/>
  <c r="E280"/>
  <c r="E622"/>
  <c r="E606"/>
  <c r="E600"/>
  <c r="E597"/>
  <c r="E538"/>
  <c r="E536"/>
  <c r="E532"/>
  <c r="E474"/>
  <c r="E469"/>
  <c r="E468" s="1"/>
  <c r="E467" s="1"/>
  <c r="E333"/>
  <c r="E331"/>
  <c r="E327"/>
  <c r="E253"/>
  <c r="E238"/>
  <c r="E263"/>
  <c r="E176"/>
  <c r="E164"/>
  <c r="E114"/>
  <c r="E83"/>
  <c r="E277" l="1"/>
  <c r="E466"/>
  <c r="E555" l="1"/>
  <c r="E559"/>
  <c r="E462"/>
  <c r="E433"/>
  <c r="E121"/>
  <c r="E369"/>
  <c r="E346"/>
  <c r="E82"/>
  <c r="E80" s="1"/>
  <c r="E74"/>
  <c r="E602"/>
  <c r="E340"/>
  <c r="E231"/>
  <c r="E233"/>
  <c r="E216"/>
  <c r="E172"/>
  <c r="E505" l="1"/>
  <c r="E502"/>
  <c r="E120"/>
  <c r="E325"/>
  <c r="E57"/>
  <c r="E51" l="1"/>
  <c r="E56"/>
  <c r="E55" s="1"/>
  <c r="E54" s="1"/>
  <c r="E508"/>
  <c r="E507" s="1"/>
  <c r="E506" s="1"/>
  <c r="E434"/>
  <c r="E440"/>
  <c r="E312"/>
  <c r="E313"/>
  <c r="E546" l="1"/>
  <c r="E545" s="1"/>
  <c r="E323"/>
  <c r="E322" s="1"/>
  <c r="E321"/>
  <c r="E320" s="1"/>
  <c r="E432"/>
  <c r="E154" l="1"/>
  <c r="E564" l="1"/>
  <c r="E274"/>
  <c r="E448"/>
  <c r="E430"/>
  <c r="E429" s="1"/>
  <c r="E408"/>
  <c r="E402"/>
  <c r="E394"/>
  <c r="E130"/>
  <c r="E357"/>
  <c r="E338"/>
  <c r="E336"/>
  <c r="E328"/>
  <c r="E318"/>
  <c r="E228"/>
  <c r="E262"/>
  <c r="E196"/>
  <c r="E193"/>
  <c r="E171"/>
  <c r="E273" l="1"/>
  <c r="E104"/>
  <c r="E215" l="1"/>
  <c r="E149"/>
  <c r="E156"/>
  <c r="E155" s="1"/>
  <c r="E87" l="1"/>
  <c r="E86" s="1"/>
  <c r="E45" l="1"/>
  <c r="E44" s="1"/>
  <c r="E43" s="1"/>
  <c r="E163" l="1"/>
  <c r="E264" l="1"/>
  <c r="E259"/>
  <c r="E307"/>
  <c r="E522"/>
  <c r="E514"/>
  <c r="E498"/>
  <c r="E525"/>
  <c r="E504"/>
  <c r="E501" s="1"/>
  <c r="E140"/>
  <c r="E419"/>
  <c r="E418" l="1"/>
  <c r="E261"/>
  <c r="E497"/>
  <c r="E524"/>
  <c r="E513"/>
  <c r="E258"/>
  <c r="E29"/>
  <c r="E621"/>
  <c r="E611"/>
  <c r="E605"/>
  <c r="E603"/>
  <c r="E601"/>
  <c r="E599"/>
  <c r="E596"/>
  <c r="E588"/>
  <c r="E581"/>
  <c r="E578"/>
  <c r="E575"/>
  <c r="E566"/>
  <c r="E562" s="1"/>
  <c r="E557"/>
  <c r="E554" s="1"/>
  <c r="E551"/>
  <c r="E543"/>
  <c r="E541"/>
  <c r="E537"/>
  <c r="E535"/>
  <c r="E531"/>
  <c r="E518"/>
  <c r="E488"/>
  <c r="E484"/>
  <c r="E479"/>
  <c r="E450"/>
  <c r="E447" s="1"/>
  <c r="E443"/>
  <c r="E439" s="1"/>
  <c r="E410"/>
  <c r="E407" s="1"/>
  <c r="E398"/>
  <c r="E391"/>
  <c r="E389"/>
  <c r="E380"/>
  <c r="E374"/>
  <c r="E368"/>
  <c r="E361"/>
  <c r="E359"/>
  <c r="E355"/>
  <c r="E353"/>
  <c r="E347"/>
  <c r="E345"/>
  <c r="E343"/>
  <c r="E334"/>
  <c r="E332"/>
  <c r="E330"/>
  <c r="E326"/>
  <c r="E324"/>
  <c r="E305"/>
  <c r="E302"/>
  <c r="E300"/>
  <c r="E296"/>
  <c r="E294"/>
  <c r="E291"/>
  <c r="E286"/>
  <c r="E271"/>
  <c r="E268" s="1"/>
  <c r="E252"/>
  <c r="E250"/>
  <c r="E247"/>
  <c r="E245"/>
  <c r="E243"/>
  <c r="E241"/>
  <c r="E237"/>
  <c r="E229"/>
  <c r="E227"/>
  <c r="E221"/>
  <c r="E211"/>
  <c r="E209"/>
  <c r="E207"/>
  <c r="E205"/>
  <c r="E199"/>
  <c r="E197"/>
  <c r="E195"/>
  <c r="E191"/>
  <c r="E189"/>
  <c r="E187"/>
  <c r="E179"/>
  <c r="E177"/>
  <c r="E175"/>
  <c r="E169"/>
  <c r="E161"/>
  <c r="E153"/>
  <c r="E152" s="1"/>
  <c r="E151" s="1"/>
  <c r="E148"/>
  <c r="E139"/>
  <c r="E135"/>
  <c r="E128"/>
  <c r="E124"/>
  <c r="E122"/>
  <c r="E112"/>
  <c r="E110"/>
  <c r="E105"/>
  <c r="E103"/>
  <c r="E99"/>
  <c r="E92"/>
  <c r="E68"/>
  <c r="E72"/>
  <c r="E64"/>
  <c r="E186" l="1"/>
  <c r="E236"/>
  <c r="E168"/>
  <c r="E317"/>
  <c r="E534"/>
  <c r="E226"/>
  <c r="E417"/>
  <c r="E119"/>
  <c r="E379"/>
  <c r="E530"/>
  <c r="E529" s="1"/>
  <c r="E587"/>
  <c r="E586" s="1"/>
  <c r="E610"/>
  <c r="E620"/>
  <c r="E512"/>
  <c r="E496"/>
  <c r="E500"/>
  <c r="E373"/>
  <c r="E455"/>
  <c r="E478"/>
  <c r="E517"/>
  <c r="E550"/>
  <c r="E574"/>
  <c r="E573" s="1"/>
  <c r="E595"/>
  <c r="E616"/>
  <c r="E290"/>
  <c r="E311"/>
  <c r="E285"/>
  <c r="E304"/>
  <c r="E84"/>
  <c r="E63" s="1"/>
  <c r="E98"/>
  <c r="E138"/>
  <c r="E220"/>
  <c r="E257"/>
  <c r="E91"/>
  <c r="E134"/>
  <c r="E147"/>
  <c r="E160"/>
  <c r="E159" s="1"/>
  <c r="E102"/>
  <c r="E109"/>
  <c r="E108" s="1"/>
  <c r="E107" s="1"/>
  <c r="E127"/>
  <c r="E388"/>
  <c r="E293"/>
  <c r="E249"/>
  <c r="E299"/>
  <c r="E342"/>
  <c r="E352"/>
  <c r="E483"/>
  <c r="E101"/>
  <c r="E40"/>
  <c r="E37"/>
  <c r="E34"/>
  <c r="E11"/>
  <c r="E495" l="1"/>
  <c r="E387"/>
  <c r="E351"/>
  <c r="E438"/>
  <c r="E416" s="1"/>
  <c r="E412" s="1"/>
  <c r="E615"/>
  <c r="E549"/>
  <c r="E516"/>
  <c r="E477"/>
  <c r="E454"/>
  <c r="E372"/>
  <c r="E619"/>
  <c r="E609"/>
  <c r="E553"/>
  <c r="E446"/>
  <c r="E406"/>
  <c r="E378"/>
  <c r="E364"/>
  <c r="E568"/>
  <c r="E561" s="1"/>
  <c r="E594"/>
  <c r="E482"/>
  <c r="E289"/>
  <c r="E284"/>
  <c r="E276" s="1"/>
  <c r="E310"/>
  <c r="E298"/>
  <c r="E235"/>
  <c r="E185"/>
  <c r="E225"/>
  <c r="E118"/>
  <c r="E146"/>
  <c r="E133"/>
  <c r="E90"/>
  <c r="E219"/>
  <c r="E150"/>
  <c r="E97"/>
  <c r="E10"/>
  <c r="E167"/>
  <c r="E126"/>
  <c r="E33"/>
  <c r="E316"/>
  <c r="E288" l="1"/>
  <c r="E315"/>
  <c r="E476"/>
  <c r="E593"/>
  <c r="E363"/>
  <c r="E445"/>
  <c r="E548"/>
  <c r="E585"/>
  <c r="E608"/>
  <c r="E618"/>
  <c r="E371"/>
  <c r="E453"/>
  <c r="E452" s="1"/>
  <c r="E511"/>
  <c r="E614"/>
  <c r="E350"/>
  <c r="E386"/>
  <c r="E494"/>
  <c r="E224"/>
  <c r="E28"/>
  <c r="E166"/>
  <c r="E9"/>
  <c r="E96"/>
  <c r="E218"/>
  <c r="E89"/>
  <c r="E145"/>
  <c r="E158"/>
  <c r="E48"/>
  <c r="E184"/>
  <c r="E13"/>
  <c r="E117"/>
  <c r="E223" l="1"/>
  <c r="E267"/>
  <c r="E385"/>
  <c r="E349"/>
  <c r="E613"/>
  <c r="E510"/>
  <c r="E370"/>
  <c r="E584"/>
  <c r="E475"/>
  <c r="E309"/>
  <c r="E533"/>
  <c r="E116"/>
  <c r="E183"/>
  <c r="E157"/>
  <c r="E62"/>
  <c r="E165"/>
  <c r="E27"/>
  <c r="E8" l="1"/>
  <c r="E528"/>
  <c r="E493"/>
  <c r="E607"/>
  <c r="E266"/>
  <c r="E144"/>
  <c r="E115"/>
  <c r="E384" l="1"/>
  <c r="E624" s="1"/>
</calcChain>
</file>

<file path=xl/sharedStrings.xml><?xml version="1.0" encoding="utf-8"?>
<sst xmlns="http://schemas.openxmlformats.org/spreadsheetml/2006/main" count="1820" uniqueCount="617">
  <si>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</si>
  <si>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</si>
  <si>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</si>
  <si>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</si>
  <si>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</si>
  <si>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</si>
  <si>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</si>
  <si>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</si>
  <si>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</si>
  <si>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</si>
  <si>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</si>
  <si>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</si>
  <si>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</si>
  <si>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</si>
  <si>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</si>
  <si>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</si>
  <si>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</si>
  <si>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</si>
  <si>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</si>
  <si>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</si>
  <si>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</si>
  <si>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</si>
  <si>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</si>
  <si>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</si>
  <si>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</si>
  <si>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</si>
  <si>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</si>
  <si>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</si>
  <si>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</si>
  <si>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</si>
  <si>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</si>
  <si>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</si>
  <si>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</si>
  <si>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</si>
  <si>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</si>
  <si>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</si>
  <si>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</si>
  <si>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</si>
  <si>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</si>
  <si>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</si>
  <si>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</si>
  <si>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</si>
  <si>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</si>
  <si>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</si>
  <si>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</si>
  <si>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</si>
  <si>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</si>
  <si>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</si>
  <si>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</si>
  <si>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</si>
  <si>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</si>
  <si>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</si>
  <si>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</si>
  <si>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</si>
  <si>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</si>
  <si>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</si>
  <si>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</si>
  <si>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</si>
  <si>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</si>
  <si>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</si>
  <si>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</si>
  <si>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</si>
  <si>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</si>
  <si>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</si>
  <si>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</si>
  <si>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</si>
  <si>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</si>
  <si>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</si>
  <si>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</si>
  <si>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</si>
  <si>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</si>
  <si>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</si>
  <si>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</si>
  <si>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</si>
  <si>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</si>
  <si>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</si>
  <si>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</si>
  <si>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</si>
  <si>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</si>
  <si>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</si>
  <si>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</si>
  <si>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</si>
  <si>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</si>
  <si>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</si>
  <si>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</si>
  <si>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</si>
  <si>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</si>
  <si>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</si>
  <si>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</si>
  <si>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</si>
  <si>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</si>
  <si>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</si>
  <si>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</si>
  <si>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</si>
  <si>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</si>
  <si>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</si>
  <si>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</si>
  <si>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</si>
  <si>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</si>
  <si>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</si>
  <si>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</si>
  <si>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</si>
  <si>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</si>
  <si>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</si>
  <si>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</si>
  <si>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</si>
  <si>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</si>
  <si>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</si>
  <si>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</si>
  <si>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</si>
  <si>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</si>
  <si>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</si>
  <si>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</si>
  <si>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</si>
  <si>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</si>
  <si>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</si>
  <si>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</si>
  <si>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</si>
  <si>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</si>
  <si>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</si>
  <si>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</si>
  <si>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</si>
  <si>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</si>
  <si>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</si>
  <si>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</si>
  <si>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</si>
  <si>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</si>
  <si>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</si>
  <si>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</si>
  <si>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</si>
  <si>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</si>
  <si>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</si>
  <si>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</si>
  <si>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</si>
  <si>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</si>
  <si>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</si>
  <si>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</si>
  <si>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</si>
  <si>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</si>
  <si>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</si>
  <si>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</si>
  <si>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</si>
  <si>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</si>
  <si>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</si>
  <si>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</si>
  <si>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</si>
  <si>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</si>
  <si>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</si>
  <si>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</si>
  <si>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</si>
  <si>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</si>
  <si>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</si>
  <si>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</si>
  <si>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</si>
  <si>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</si>
  <si>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</si>
  <si>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</si>
  <si>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</si>
  <si>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</si>
  <si>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</si>
  <si>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</si>
  <si>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</si>
  <si>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</si>
  <si>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</si>
  <si>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</si>
  <si>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</si>
  <si>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</si>
  <si>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</si>
  <si>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</si>
  <si>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</si>
  <si>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</si>
  <si>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</si>
  <si>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</si>
  <si>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</si>
  <si>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</si>
  <si>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</si>
  <si>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</si>
  <si>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</si>
  <si>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</si>
  <si>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</si>
  <si>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</si>
  <si>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</si>
  <si>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</si>
  <si>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</si>
  <si>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</si>
  <si>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</si>
  <si>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</si>
  <si>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</si>
  <si>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</si>
  <si>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</si>
  <si>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</si>
  <si>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</si>
  <si>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</si>
  <si>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</si>
  <si>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</si>
  <si>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</si>
  <si>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</si>
  <si>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</si>
  <si>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</si>
  <si>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</si>
  <si>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</si>
  <si>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</si>
  <si>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</si>
  <si>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</si>
  <si>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</si>
  <si>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</si>
  <si>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</si>
  <si>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</si>
  <si>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</si>
  <si>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</si>
  <si>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</si>
  <si>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</si>
  <si>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</si>
  <si>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</si>
  <si>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</si>
  <si>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</si>
  <si>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</si>
  <si>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</si>
  <si>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</si>
  <si>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</si>
  <si>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</si>
  <si>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</si>
  <si>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</si>
  <si>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</si>
  <si>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</si>
  <si>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</si>
  <si>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</si>
  <si>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</si>
  <si>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</si>
  <si>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</si>
  <si>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</si>
  <si>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</si>
  <si>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</si>
  <si>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</si>
  <si>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</si>
  <si>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</si>
  <si>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</si>
  <si>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</si>
  <si>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</si>
  <si>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</si>
  <si>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</si>
  <si>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</si>
  <si>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</si>
  <si>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</si>
  <si>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</si>
  <si>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</si>
  <si>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</si>
  <si>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</si>
  <si>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</si>
  <si>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</si>
  <si>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</si>
  <si>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</si>
  <si>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</si>
  <si>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</si>
  <si>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</si>
  <si>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</si>
  <si>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</si>
  <si>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</si>
  <si>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</si>
  <si>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</si>
  <si>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</si>
  <si>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</si>
  <si>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</si>
  <si>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</si>
  <si>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</si>
  <si>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</si>
  <si>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</si>
  <si>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</si>
  <si>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</si>
  <si>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</si>
  <si>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</si>
  <si>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</si>
  <si>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</si>
  <si>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</si>
  <si>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</si>
  <si>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</si>
  <si>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</si>
  <si>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</si>
  <si>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</si>
  <si>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</si>
  <si>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</si>
  <si>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</si>
  <si>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</si>
  <si>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</si>
  <si>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</si>
  <si>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</si>
  <si>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</si>
  <si>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</si>
  <si>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</si>
  <si>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</si>
  <si>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</si>
  <si>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</si>
  <si>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</si>
  <si>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</si>
  <si>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</si>
  <si>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</si>
  <si>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</si>
  <si>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</si>
  <si>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</si>
  <si>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</si>
  <si>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</si>
  <si>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</si>
  <si>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</si>
  <si>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</si>
  <si>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</si>
  <si>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</si>
  <si>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</si>
  <si>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</si>
  <si>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</si>
  <si>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</si>
  <si>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</si>
  <si>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</si>
  <si>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</si>
  <si>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</si>
  <si>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</si>
  <si>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</si>
  <si>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</si>
  <si>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</si>
  <si>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</si>
  <si>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</si>
  <si>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</si>
  <si>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</si>
  <si>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</si>
  <si>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</si>
  <si>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</si>
  <si>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</si>
  <si>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</si>
  <si>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</si>
  <si>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</si>
  <si>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</si>
  <si>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</si>
  <si>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</si>
  <si>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</si>
  <si>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</si>
  <si>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</si>
  <si>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</si>
  <si>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</si>
  <si>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</si>
  <si>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</si>
  <si>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</si>
  <si>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</si>
  <si>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</si>
  <si>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</si>
  <si>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</si>
  <si>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</si>
  <si>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</si>
  <si>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</si>
  <si>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</si>
  <si>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</si>
  <si>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</si>
  <si>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</si>
  <si>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</si>
  <si>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</si>
  <si>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</si>
  <si>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</si>
  <si>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</si>
  <si>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</si>
  <si>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</si>
  <si>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</si>
  <si>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</si>
  <si>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</si>
  <si>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</si>
  <si>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</si>
  <si>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</si>
  <si>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</si>
  <si>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</si>
  <si>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</si>
  <si>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</si>
  <si>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</si>
  <si>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</si>
  <si>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</si>
  <si>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</si>
  <si>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</si>
  <si>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</si>
  <si>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</si>
  <si>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</si>
  <si>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</si>
  <si>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</si>
  <si>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</si>
  <si>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</si>
  <si>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</si>
  <si>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</si>
  <si>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</si>
  <si>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</si>
  <si>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</si>
  <si>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</si>
  <si>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</si>
  <si>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</si>
  <si>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</si>
  <si>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</si>
  <si>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</si>
  <si>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</si>
  <si>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</si>
  <si>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</si>
  <si>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</si>
  <si>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</si>
  <si>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</si>
  <si>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</si>
  <si>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</si>
  <si>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</si>
  <si>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</si>
  <si>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</si>
  <si>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</si>
  <si>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</si>
  <si>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</si>
  <si>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</si>
  <si>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</si>
  <si>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</si>
  <si>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</si>
  <si>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</si>
  <si>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</si>
  <si>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</si>
  <si>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</si>
  <si>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</si>
  <si>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</si>
  <si>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</si>
  <si>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</si>
  <si>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</si>
  <si>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</si>
  <si>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</si>
  <si>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</si>
  <si>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</si>
  <si>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</si>
  <si>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</si>
  <si>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</si>
  <si>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</si>
  <si>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</si>
  <si>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</si>
  <si>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</si>
  <si>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</si>
  <si>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</si>
  <si>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</si>
  <si>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</si>
  <si>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</si>
  <si>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</si>
  <si>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</si>
  <si>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</si>
  <si>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</si>
  <si>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</si>
  <si>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</si>
  <si>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</si>
  <si>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</si>
  <si>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</si>
  <si>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</si>
  <si>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</si>
  <si>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</si>
  <si>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</si>
  <si>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</si>
  <si>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</si>
  <si>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</si>
  <si>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</si>
  <si>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</si>
  <si>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</si>
  <si>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</si>
  <si>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</si>
  <si>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</si>
  <si>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</si>
  <si>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</si>
  <si>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</si>
  <si>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</si>
  <si>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</si>
  <si>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</si>
  <si>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</si>
  <si>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</si>
  <si>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</si>
  <si>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</si>
  <si>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</si>
  <si>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</si>
  <si>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</si>
  <si>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</si>
  <si>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</si>
  <si>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</si>
  <si>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</si>
  <si>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</si>
  <si>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</si>
  <si>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</si>
  <si>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</si>
  <si>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</si>
  <si>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</si>
  <si>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</si>
  <si>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</si>
  <si>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</si>
  <si>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</si>
  <si>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</si>
  <si>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</si>
  <si>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</si>
  <si>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</si>
  <si>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</si>
  <si>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</si>
  <si>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</si>
  <si>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</si>
  <si>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</si>
  <si>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</si>
  <si>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</si>
  <si>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</si>
  <si>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</si>
  <si>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</si>
  <si>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</si>
  <si>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</si>
  <si>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</si>
  <si>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</si>
  <si>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</si>
  <si>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</si>
  <si>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</si>
  <si>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</si>
  <si>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</si>
  <si>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</si>
  <si>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</si>
  <si>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</si>
  <si>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</si>
  <si>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</si>
  <si>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</si>
  <si>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</si>
  <si>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</si>
  <si>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</si>
  <si>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</si>
  <si>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</si>
  <si>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</si>
  <si>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</si>
  <si>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</si>
  <si>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</si>
  <si>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</si>
  <si>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</si>
  <si>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</si>
  <si>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</si>
  <si>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</si>
  <si>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</si>
  <si>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</si>
  <si>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</si>
  <si>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</si>
  <si>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</si>
  <si>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</si>
  <si>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</si>
  <si>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</si>
  <si>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</si>
  <si>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</si>
  <si>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</si>
  <si>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</si>
  <si>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</si>
  <si>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</si>
  <si>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</si>
  <si>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</si>
  <si>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</si>
  <si>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</si>
  <si>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</si>
  <si>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</si>
  <si>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</si>
  <si>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</si>
  <si>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</si>
  <si>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00 1 00 58430</t>
  </si>
  <si>
    <t xml:space="preserve">Капитальные вложения в объекты муниципальной собственности за счет  благотворительных пожертвований </t>
  </si>
  <si>
    <t>04 1 02 40620</t>
  </si>
  <si>
    <t>Основное мероприятие "Обустройство мест массового культурного досуга и активного отдыха жителей города Благовещенска</t>
  </si>
  <si>
    <t>05 5 03 00000</t>
  </si>
  <si>
    <t>05 5 03 60350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</si>
  <si>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</si>
  <si>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</si>
  <si>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</si>
  <si>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</si>
  <si>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Субсидии юридическим лицам на возмещение затрат, связанных с обустройством мест массового отдыха населения (парки)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</si>
  <si>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</si>
  <si>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Обновление и укрепление материально-технической базы АПК "Безопасный город</t>
  </si>
  <si>
    <t>08 1 01 10330</t>
  </si>
  <si>
    <t>Обновление и укрепление материально-технической базы муниципальных организаций (учреждений)</t>
  </si>
  <si>
    <t>05 4 01 10010</t>
  </si>
  <si>
    <t>Содержание и ремонт муниципального жилья</t>
  </si>
  <si>
    <t>Расходы на исполнение судебных решений</t>
  </si>
  <si>
    <t>00 0 00 70021</t>
  </si>
  <si>
    <t>Реализация мероприятий федеральной целевой программы "Развитие внутреннего и въездного туризма в Российской Федерации (2011-2018 годы)" подпрограммы "РАзвитие внутреннего и въездного туризма в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туризма в городе Благовещенске" муниципальной программы "Экономическое развитие города Благовещенска на 2015-2020 годы"</t>
  </si>
  <si>
    <t>09 1 01 R1100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</si>
  <si>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</si>
  <si>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</si>
  <si>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</si>
  <si>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09 1 01 51100</t>
  </si>
  <si>
    <t>03 1 01 87400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</si>
  <si>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</si>
  <si>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Предоставление социальных выплат молодым семьям на приобретение (строительство) жилья по мероприятиям подпрограммы «Обеспечение жильем молодых семей» государственной программы «Обеспечение доступным и качественным жильем населения Амурской области на 2014-2020 годы» в рамках подпрограммы «Обеспечение жильем молодых семей» муниципальной программы «Обеспечение доступным и комфортным жильем населения города Благовещенска на 2015-2020 годы»</t>
  </si>
  <si>
    <t>01 3 01 R0200</t>
  </si>
  <si>
    <t>01 3 01 50200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</si>
  <si>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</si>
  <si>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</si>
  <si>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 xml:space="preserve">     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</si>
  <si>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</si>
  <si>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</si>
  <si>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01 1 01 10490</t>
  </si>
  <si>
    <t>01 1 01 10600</t>
  </si>
  <si>
    <t>01 1 01 09502</t>
  </si>
  <si>
    <t>Муниципальная программа "Обеспечение доступным и комфортным жильем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</si>
  <si>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</si>
  <si>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качественным жильём населения Амурской области на 2014-2020 годы"</t>
  </si>
  <si>
    <t>Реализация на основании судебных решений мер поддержки граждан, признанных пострадавшими в результате крупномасштабного наводнения в августе-сентябре 2013 года в рамках подпрограммы "Реализация мер социальной поддержки граждан Амурской области, признанных в установленном порядке пострадавшими в результате чрезвычайной ситуации, вызванной крупномасштабным наводнением в августе-сентябре 2013 года" государственной программы "Обеспечение доступным и качественным жильем населения Амурской области на 2014-2020 годы"</t>
  </si>
  <si>
    <t>Берегоукрепление и реконструкция набережной р. Амур, г. Благовещенск (в т.ч. проектные работы)</t>
  </si>
  <si>
    <t>02 1 01 50270</t>
  </si>
  <si>
    <t>Мероприятия подпрограммы "Реабилитация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</si>
  <si>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Государственная поддержка малого и среднего предпринимательства, включая крестьянские (фермерские) хозяйства по мероприятиям подпрограммы "Развитие субъектов малого и среднего предпринимательства на территории Амурской области" государственной программы "Экономическое развитие и инновационная экономика Амурской области на 2014-2020 годы" в рамках подпрограммы "Развитие малого и среднего предпринимательства в городе Благовещенске" муниципальной программы "Экономическое развитие города Благовещенска на 2015-2020 годы"</t>
  </si>
  <si>
    <t>09 2 01 50644</t>
  </si>
  <si>
    <t>09 2 01 R0644</t>
  </si>
  <si>
    <t>Реализация мероприятий государтсвенной программы Российской Федерации "Достьупная среда " на 2011-2020 годы</t>
  </si>
  <si>
    <t>06 0 03 50270</t>
  </si>
  <si>
    <t>Мероприятия подпрограммы "Реабилитация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 в рамках подпрограммы «Осуществление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</si>
  <si>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R0270</t>
  </si>
  <si>
    <t>Реализация мероприятий государственной программы Российской Федерации "Доступная среда" на 2011-2020 годы в рамках подпрограммы "Реалибитация и обеспечение жизнедеятельности инвалидов в Амурской области" государственной программы "Развитие системы социальной защиты населения Амурской области на 2014-2020 гг."</t>
  </si>
  <si>
    <t>04 1 02 50270</t>
  </si>
  <si>
    <t>04 1 02 R0270</t>
  </si>
  <si>
    <t>Модернизация систем дополнительного образования</t>
  </si>
  <si>
    <t>04 1 02 87610</t>
  </si>
  <si>
    <t>Капитальный ремонт путепровода через ул.Загороную-ул.Северную (в т.ч. проектные работы)</t>
  </si>
  <si>
    <t>02 1 01 40610</t>
  </si>
  <si>
    <t>02 1 01 60350</t>
  </si>
  <si>
    <t>Адаптация пешеходных путей для инвалидов и маломобильных групп населения</t>
  </si>
  <si>
    <t>08 4 01 10630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</si>
  <si>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(проектные работы)</t>
  </si>
  <si>
    <t>04 1 02 10530</t>
  </si>
  <si>
    <t>Создание в образовательных организациях (учреждениях) условий для инклюзивного обучения детей - инвалидов, предусматривающих универсальную безбарьерную среду и оснащение специальных, в том числе учебным реабилитационным и компьютерным оборудованием</t>
  </si>
  <si>
    <t>Расходы, направленные на модернизацию коммунальной инфраструктуры мероприятий подпрограммы "Обеспечение доступности коммунальных услуг, повышение качества и надежности жилищно-коммунального обслуживания населения" государственной программы "Модернизация жилищно-коммунального комплекса, энергосбережение и повышение энергетической эффективности в Амурской области на 2014-2020 годы" в рамках подпрограммы "Повышение качества и надежности жилищно-коммунального обслуживания населения, обеспечения доступности коммунальных услуг"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</si>
  <si>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 xml:space="preserve">Премия одаренным  детям, обучающимся в образовательных организациях   города Благовещенска </t>
  </si>
  <si>
    <t>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</si>
</sst>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7030A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3" fillId="0" borderId="0"/>
  </cellStyleXfs>
  <cellXfs count="102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 wrapText="1"/>
    </xf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/>
    <xf numFmtId="0" fontId="7" fillId="0" borderId="0" xfId="4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NumberFormat="1" applyFont="1" applyFill="1" applyAlignment="1">
      <alignment horizontal="left" wrapText="1"/>
    </xf>
    <xf numFmtId="0" fontId="14" fillId="0" borderId="0" xfId="0" applyFont="1" applyFill="1"/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center" vertical="center"/>
    </xf>
    <xf numFmtId="164" fontId="4" fillId="0" borderId="0" xfId="0" applyNumberFormat="1" applyFont="1" applyFill="1"/>
    <xf numFmtId="164" fontId="7" fillId="0" borderId="0" xfId="0" applyNumberFormat="1" applyFont="1" applyFill="1"/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/>
    <xf numFmtId="165" fontId="15" fillId="0" borderId="0" xfId="0" applyNumberFormat="1" applyFont="1" applyFill="1"/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9"/>
  <sheetViews>
    <sheetView tabSelected="1" topLeftCell="A602" zoomScale="90" zoomScaleNormal="90" workbookViewId="0">
      <selection activeCell="G216" sqref="G216"/>
    </sheetView>
  </sheetViews>
  <sheetFormatPr defaultColWidth="9.140625" defaultRowHeight="15"/>
  <cols>
    <col min="1" max="1" width="66.5703125" style="74" customWidth="1"/>
    <col min="2" max="2" width="8" style="9" customWidth="1"/>
    <col min="3" max="3" width="14.7109375" style="53" customWidth="1"/>
    <col min="4" max="4" width="6.140625" style="54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90" t="s">
        <v>616</v>
      </c>
      <c r="D1" s="90"/>
      <c r="E1" s="90"/>
    </row>
    <row r="2" spans="1:5" s="3" customFormat="1" ht="12.75" customHeight="1">
      <c r="A2" s="1"/>
      <c r="B2" s="2"/>
      <c r="C2" s="90" t="s">
        <v>494</v>
      </c>
      <c r="D2" s="90"/>
      <c r="E2" s="90"/>
    </row>
    <row r="3" spans="1:5" s="3" customFormat="1" ht="12.75" customHeight="1">
      <c r="A3" s="1"/>
      <c r="B3" s="2"/>
      <c r="C3" s="90" t="s">
        <v>0</v>
      </c>
      <c r="D3" s="90"/>
      <c r="E3" s="90"/>
    </row>
    <row r="4" spans="1:5" s="3" customFormat="1" ht="9.75" customHeight="1">
      <c r="A4" s="1"/>
      <c r="B4" s="2"/>
      <c r="C4" s="91"/>
      <c r="D4" s="91"/>
      <c r="E4" s="91"/>
    </row>
    <row r="5" spans="1:5" s="3" customFormat="1" ht="49.5" customHeight="1">
      <c r="A5" s="89" t="s">
        <v>45</v>
      </c>
      <c r="B5" s="89"/>
      <c r="C5" s="89"/>
      <c r="D5" s="89"/>
      <c r="E5" s="89"/>
    </row>
    <row r="6" spans="1:5" s="3" customFormat="1" ht="15" customHeight="1">
      <c r="A6" s="1"/>
      <c r="B6" s="2"/>
      <c r="C6" s="88" t="s">
        <v>1</v>
      </c>
      <c r="D6" s="88"/>
      <c r="E6" s="88"/>
    </row>
    <row r="7" spans="1:5" s="3" customFormat="1" ht="18.75" customHeight="1">
      <c r="A7" s="55" t="s">
        <v>2</v>
      </c>
      <c r="B7" s="56" t="s">
        <v>3</v>
      </c>
      <c r="C7" s="56" t="s">
        <v>4</v>
      </c>
      <c r="D7" s="57" t="s">
        <v>5</v>
      </c>
      <c r="E7" s="92" t="s">
        <v>49</v>
      </c>
    </row>
    <row r="8" spans="1:5" s="27" customFormat="1" ht="15.75" customHeight="1">
      <c r="A8" s="4" t="s">
        <v>6</v>
      </c>
      <c r="B8" s="5" t="s">
        <v>7</v>
      </c>
      <c r="C8" s="75"/>
      <c r="D8" s="7"/>
      <c r="E8" s="93">
        <f>E9+E13+E27+E58+E62+E48+E43+E54</f>
        <v>531603.4</v>
      </c>
    </row>
    <row r="9" spans="1:5" s="27" customFormat="1" ht="28.5">
      <c r="A9" s="4" t="s">
        <v>46</v>
      </c>
      <c r="B9" s="5" t="s">
        <v>8</v>
      </c>
      <c r="C9" s="6"/>
      <c r="D9" s="7"/>
      <c r="E9" s="93">
        <f>E10</f>
        <v>2269.1999999999998</v>
      </c>
    </row>
    <row r="10" spans="1:5">
      <c r="A10" s="11" t="s">
        <v>9</v>
      </c>
      <c r="B10" s="12" t="s">
        <v>8</v>
      </c>
      <c r="C10" s="13" t="s">
        <v>47</v>
      </c>
      <c r="D10" s="16"/>
      <c r="E10" s="94">
        <f>E11</f>
        <v>2269.1999999999998</v>
      </c>
    </row>
    <row r="11" spans="1:5">
      <c r="A11" s="11" t="s">
        <v>10</v>
      </c>
      <c r="B11" s="12" t="s">
        <v>8</v>
      </c>
      <c r="C11" s="13" t="s">
        <v>48</v>
      </c>
      <c r="D11" s="16"/>
      <c r="E11" s="94">
        <f>E12</f>
        <v>2269.1999999999998</v>
      </c>
    </row>
    <row r="12" spans="1:5" ht="60">
      <c r="A12" s="11" t="s">
        <v>11</v>
      </c>
      <c r="B12" s="12" t="s">
        <v>8</v>
      </c>
      <c r="C12" s="13" t="s">
        <v>48</v>
      </c>
      <c r="D12" s="16">
        <v>100</v>
      </c>
      <c r="E12" s="94">
        <v>2269.1999999999998</v>
      </c>
    </row>
    <row r="13" spans="1:5" s="27" customFormat="1" ht="42.75">
      <c r="A13" s="4" t="s">
        <v>12</v>
      </c>
      <c r="B13" s="5" t="s">
        <v>581</v>
      </c>
      <c r="C13" s="6"/>
      <c r="D13" s="7"/>
      <c r="E13" s="93">
        <f>SUM(E14)</f>
        <v>28274.3</v>
      </c>
    </row>
    <row r="14" spans="1:5">
      <c r="A14" s="11" t="s">
        <v>9</v>
      </c>
      <c r="B14" s="12" t="s">
        <v>13</v>
      </c>
      <c r="C14" s="13" t="s">
        <v>47</v>
      </c>
      <c r="D14" s="16"/>
      <c r="E14" s="94">
        <f>SUM(E15+E17+E19+E21+E25)</f>
        <v>28274.3</v>
      </c>
    </row>
    <row r="15" spans="1:5">
      <c r="A15" s="11" t="s">
        <v>14</v>
      </c>
      <c r="B15" s="12" t="s">
        <v>13</v>
      </c>
      <c r="C15" s="13" t="s">
        <v>50</v>
      </c>
      <c r="D15" s="16"/>
      <c r="E15" s="94">
        <f>E16</f>
        <v>1939.6999999999998</v>
      </c>
    </row>
    <row r="16" spans="1:5" ht="63.75" customHeight="1">
      <c r="A16" s="11" t="s">
        <v>11</v>
      </c>
      <c r="B16" s="12" t="s">
        <v>13</v>
      </c>
      <c r="C16" s="13" t="s">
        <v>50</v>
      </c>
      <c r="D16" s="16">
        <v>100</v>
      </c>
      <c r="E16" s="94">
        <f>2087.6-147.9</f>
        <v>1939.6999999999998</v>
      </c>
    </row>
    <row r="17" spans="1:5" ht="30">
      <c r="A17" s="11" t="s">
        <v>15</v>
      </c>
      <c r="B17" s="12" t="s">
        <v>13</v>
      </c>
      <c r="C17" s="13" t="s">
        <v>51</v>
      </c>
      <c r="D17" s="16"/>
      <c r="E17" s="94">
        <f>E18</f>
        <v>1550.2</v>
      </c>
    </row>
    <row r="18" spans="1:5" ht="60">
      <c r="A18" s="11" t="s">
        <v>11</v>
      </c>
      <c r="B18" s="12" t="s">
        <v>13</v>
      </c>
      <c r="C18" s="13" t="s">
        <v>51</v>
      </c>
      <c r="D18" s="16">
        <v>100</v>
      </c>
      <c r="E18" s="94">
        <f>1911.4-361.2</f>
        <v>1550.2</v>
      </c>
    </row>
    <row r="19" spans="1:5">
      <c r="A19" s="11" t="s">
        <v>16</v>
      </c>
      <c r="B19" s="12" t="s">
        <v>13</v>
      </c>
      <c r="C19" s="13" t="s">
        <v>52</v>
      </c>
      <c r="D19" s="16"/>
      <c r="E19" s="94">
        <f>E20</f>
        <v>1172.9000000000001</v>
      </c>
    </row>
    <row r="20" spans="1:5" ht="60">
      <c r="A20" s="11" t="s">
        <v>11</v>
      </c>
      <c r="B20" s="12" t="s">
        <v>13</v>
      </c>
      <c r="C20" s="13" t="s">
        <v>52</v>
      </c>
      <c r="D20" s="16">
        <v>100</v>
      </c>
      <c r="E20" s="94">
        <f>1777-604.1</f>
        <v>1172.9000000000001</v>
      </c>
    </row>
    <row r="21" spans="1:5">
      <c r="A21" s="17" t="s">
        <v>17</v>
      </c>
      <c r="B21" s="12" t="s">
        <v>13</v>
      </c>
      <c r="C21" s="13" t="s">
        <v>53</v>
      </c>
      <c r="D21" s="16"/>
      <c r="E21" s="94">
        <f>SUM(E22:E24)</f>
        <v>14506.5</v>
      </c>
    </row>
    <row r="22" spans="1:5" ht="60">
      <c r="A22" s="11" t="s">
        <v>11</v>
      </c>
      <c r="B22" s="12" t="s">
        <v>13</v>
      </c>
      <c r="C22" s="13" t="s">
        <v>53</v>
      </c>
      <c r="D22" s="16">
        <v>100</v>
      </c>
      <c r="E22" s="94">
        <f>12268.9-95.3</f>
        <v>12173.6</v>
      </c>
    </row>
    <row r="23" spans="1:5" ht="30">
      <c r="A23" s="11" t="s">
        <v>54</v>
      </c>
      <c r="B23" s="12" t="s">
        <v>13</v>
      </c>
      <c r="C23" s="13" t="s">
        <v>53</v>
      </c>
      <c r="D23" s="16">
        <v>200</v>
      </c>
      <c r="E23" s="94">
        <f>4208.9-1877</f>
        <v>2331.8999999999996</v>
      </c>
    </row>
    <row r="24" spans="1:5">
      <c r="A24" s="18" t="s">
        <v>19</v>
      </c>
      <c r="B24" s="12" t="s">
        <v>13</v>
      </c>
      <c r="C24" s="13" t="s">
        <v>53</v>
      </c>
      <c r="D24" s="16">
        <v>800</v>
      </c>
      <c r="E24" s="94">
        <f>4-3</f>
        <v>1</v>
      </c>
    </row>
    <row r="25" spans="1:5">
      <c r="A25" s="11" t="s">
        <v>20</v>
      </c>
      <c r="B25" s="12" t="s">
        <v>13</v>
      </c>
      <c r="C25" s="13" t="s">
        <v>55</v>
      </c>
      <c r="D25" s="16"/>
      <c r="E25" s="94">
        <f>E26</f>
        <v>9105</v>
      </c>
    </row>
    <row r="26" spans="1:5" ht="71.25" customHeight="1">
      <c r="A26" s="11" t="s">
        <v>11</v>
      </c>
      <c r="B26" s="12" t="s">
        <v>13</v>
      </c>
      <c r="C26" s="13" t="s">
        <v>55</v>
      </c>
      <c r="D26" s="16">
        <v>100</v>
      </c>
      <c r="E26" s="94">
        <f>9702.5-597.5</f>
        <v>9105</v>
      </c>
    </row>
    <row r="27" spans="1:5" s="27" customFormat="1" ht="42.75">
      <c r="A27" s="4" t="s">
        <v>21</v>
      </c>
      <c r="B27" s="5" t="s">
        <v>22</v>
      </c>
      <c r="C27" s="6"/>
      <c r="D27" s="7"/>
      <c r="E27" s="93">
        <f>SUM(E28)</f>
        <v>176321.1</v>
      </c>
    </row>
    <row r="28" spans="1:5">
      <c r="A28" s="11" t="s">
        <v>9</v>
      </c>
      <c r="B28" s="12" t="s">
        <v>22</v>
      </c>
      <c r="C28" s="13" t="s">
        <v>47</v>
      </c>
      <c r="D28" s="16"/>
      <c r="E28" s="94">
        <f>SUM(E29)+E33</f>
        <v>176321.1</v>
      </c>
    </row>
    <row r="29" spans="1:5" ht="38.25" customHeight="1">
      <c r="A29" s="20" t="s">
        <v>23</v>
      </c>
      <c r="B29" s="12" t="s">
        <v>22</v>
      </c>
      <c r="C29" s="13" t="s">
        <v>56</v>
      </c>
      <c r="D29" s="16"/>
      <c r="E29" s="94">
        <f>SUM(E30:E32)</f>
        <v>170990.9</v>
      </c>
    </row>
    <row r="30" spans="1:5" ht="66.75" customHeight="1">
      <c r="A30" s="11" t="s">
        <v>11</v>
      </c>
      <c r="B30" s="12" t="s">
        <v>22</v>
      </c>
      <c r="C30" s="13" t="s">
        <v>56</v>
      </c>
      <c r="D30" s="16">
        <v>100</v>
      </c>
      <c r="E30" s="94">
        <f>154057.9-200</f>
        <v>153857.9</v>
      </c>
    </row>
    <row r="31" spans="1:5" ht="30">
      <c r="A31" s="11" t="s">
        <v>54</v>
      </c>
      <c r="B31" s="12" t="s">
        <v>22</v>
      </c>
      <c r="C31" s="13" t="s">
        <v>56</v>
      </c>
      <c r="D31" s="16">
        <v>200</v>
      </c>
      <c r="E31" s="94">
        <f>15210.5+136.8+19.7+200+1016</f>
        <v>16583</v>
      </c>
    </row>
    <row r="32" spans="1:5">
      <c r="A32" s="18" t="s">
        <v>19</v>
      </c>
      <c r="B32" s="12" t="s">
        <v>22</v>
      </c>
      <c r="C32" s="13" t="s">
        <v>56</v>
      </c>
      <c r="D32" s="16">
        <v>800</v>
      </c>
      <c r="E32" s="94">
        <v>550</v>
      </c>
    </row>
    <row r="33" spans="1:5">
      <c r="A33" s="18" t="s">
        <v>25</v>
      </c>
      <c r="B33" s="12" t="s">
        <v>22</v>
      </c>
      <c r="C33" s="13" t="s">
        <v>57</v>
      </c>
      <c r="D33" s="16"/>
      <c r="E33" s="94">
        <f>SUM(E34+E37+E40)</f>
        <v>5330.2</v>
      </c>
    </row>
    <row r="34" spans="1:5" ht="144" customHeight="1">
      <c r="A34" s="11" t="s">
        <v>58</v>
      </c>
      <c r="B34" s="12" t="s">
        <v>22</v>
      </c>
      <c r="C34" s="13" t="s">
        <v>59</v>
      </c>
      <c r="D34" s="13"/>
      <c r="E34" s="94">
        <f>SUM(E35:E36)</f>
        <v>2118.9</v>
      </c>
    </row>
    <row r="35" spans="1:5" ht="60">
      <c r="A35" s="11" t="s">
        <v>11</v>
      </c>
      <c r="B35" s="12" t="s">
        <v>22</v>
      </c>
      <c r="C35" s="13" t="s">
        <v>59</v>
      </c>
      <c r="D35" s="13" t="s">
        <v>26</v>
      </c>
      <c r="E35" s="94">
        <v>1952.1</v>
      </c>
    </row>
    <row r="36" spans="1:5" ht="30">
      <c r="A36" s="11" t="s">
        <v>54</v>
      </c>
      <c r="B36" s="12" t="s">
        <v>22</v>
      </c>
      <c r="C36" s="13" t="s">
        <v>59</v>
      </c>
      <c r="D36" s="13" t="s">
        <v>27</v>
      </c>
      <c r="E36" s="94">
        <v>166.8</v>
      </c>
    </row>
    <row r="37" spans="1:5" ht="120">
      <c r="A37" s="58" t="s">
        <v>60</v>
      </c>
      <c r="B37" s="12" t="s">
        <v>22</v>
      </c>
      <c r="C37" s="69" t="s">
        <v>61</v>
      </c>
      <c r="D37" s="59"/>
      <c r="E37" s="94">
        <f>SUM(E38:E39)</f>
        <v>1622.1</v>
      </c>
    </row>
    <row r="38" spans="1:5" ht="60">
      <c r="A38" s="11" t="s">
        <v>11</v>
      </c>
      <c r="B38" s="12" t="s">
        <v>22</v>
      </c>
      <c r="C38" s="69" t="s">
        <v>61</v>
      </c>
      <c r="D38" s="59">
        <v>100</v>
      </c>
      <c r="E38" s="94">
        <v>1464</v>
      </c>
    </row>
    <row r="39" spans="1:5" ht="30">
      <c r="A39" s="11" t="s">
        <v>54</v>
      </c>
      <c r="B39" s="12" t="s">
        <v>22</v>
      </c>
      <c r="C39" s="69" t="s">
        <v>61</v>
      </c>
      <c r="D39" s="59">
        <v>200</v>
      </c>
      <c r="E39" s="94">
        <v>158.1</v>
      </c>
    </row>
    <row r="40" spans="1:5" ht="75">
      <c r="A40" s="58" t="s">
        <v>62</v>
      </c>
      <c r="B40" s="12" t="s">
        <v>22</v>
      </c>
      <c r="C40" s="69" t="s">
        <v>63</v>
      </c>
      <c r="D40" s="59"/>
      <c r="E40" s="94">
        <f>SUM(E41:E42)</f>
        <v>1589.1999999999998</v>
      </c>
    </row>
    <row r="41" spans="1:5" ht="60">
      <c r="A41" s="11" t="s">
        <v>11</v>
      </c>
      <c r="B41" s="12" t="s">
        <v>22</v>
      </c>
      <c r="C41" s="69" t="s">
        <v>63</v>
      </c>
      <c r="D41" s="59">
        <v>100</v>
      </c>
      <c r="E41" s="94">
        <v>1464.1</v>
      </c>
    </row>
    <row r="42" spans="1:5" ht="30">
      <c r="A42" s="11" t="s">
        <v>54</v>
      </c>
      <c r="B42" s="12" t="s">
        <v>22</v>
      </c>
      <c r="C42" s="69" t="s">
        <v>63</v>
      </c>
      <c r="D42" s="59">
        <v>200</v>
      </c>
      <c r="E42" s="94">
        <v>125.1</v>
      </c>
    </row>
    <row r="43" spans="1:5" s="27" customFormat="1">
      <c r="A43" s="47" t="s">
        <v>506</v>
      </c>
      <c r="B43" s="5" t="s">
        <v>508</v>
      </c>
      <c r="C43" s="85"/>
      <c r="D43" s="66"/>
      <c r="E43" s="93">
        <f>E44</f>
        <v>332.4</v>
      </c>
    </row>
    <row r="44" spans="1:5">
      <c r="A44" s="79" t="s">
        <v>25</v>
      </c>
      <c r="B44" s="12" t="s">
        <v>508</v>
      </c>
      <c r="C44" s="13" t="s">
        <v>57</v>
      </c>
      <c r="D44" s="59"/>
      <c r="E44" s="94">
        <f>E45</f>
        <v>332.4</v>
      </c>
    </row>
    <row r="45" spans="1:5" ht="120">
      <c r="A45" s="15" t="s">
        <v>507</v>
      </c>
      <c r="B45" s="12" t="s">
        <v>508</v>
      </c>
      <c r="C45" s="82" t="s">
        <v>509</v>
      </c>
      <c r="D45" s="59"/>
      <c r="E45" s="94">
        <f>E46+E47</f>
        <v>332.4</v>
      </c>
    </row>
    <row r="46" spans="1:5" ht="30">
      <c r="A46" s="15" t="s">
        <v>54</v>
      </c>
      <c r="B46" s="12" t="s">
        <v>508</v>
      </c>
      <c r="C46" s="82" t="s">
        <v>509</v>
      </c>
      <c r="D46" s="59">
        <v>200</v>
      </c>
      <c r="E46" s="94">
        <f>186.1-58.5</f>
        <v>127.6</v>
      </c>
    </row>
    <row r="47" spans="1:5">
      <c r="A47" s="79" t="s">
        <v>19</v>
      </c>
      <c r="B47" s="12" t="s">
        <v>508</v>
      </c>
      <c r="C47" s="82" t="s">
        <v>509</v>
      </c>
      <c r="D47" s="59">
        <v>800</v>
      </c>
      <c r="E47" s="94">
        <f>146.3+58.5</f>
        <v>204.8</v>
      </c>
    </row>
    <row r="48" spans="1:5" s="27" customFormat="1" ht="42.75">
      <c r="A48" s="4" t="s">
        <v>488</v>
      </c>
      <c r="B48" s="5" t="s">
        <v>489</v>
      </c>
      <c r="C48" s="6"/>
      <c r="D48" s="7"/>
      <c r="E48" s="93">
        <f>SUM(E49)</f>
        <v>43331.80000000001</v>
      </c>
    </row>
    <row r="49" spans="1:5">
      <c r="A49" s="11" t="s">
        <v>9</v>
      </c>
      <c r="B49" s="12" t="s">
        <v>489</v>
      </c>
      <c r="C49" s="13" t="s">
        <v>47</v>
      </c>
      <c r="D49" s="16"/>
      <c r="E49" s="94">
        <f>SUM(E50)</f>
        <v>43331.80000000001</v>
      </c>
    </row>
    <row r="50" spans="1:5" ht="30">
      <c r="A50" s="20" t="s">
        <v>23</v>
      </c>
      <c r="B50" s="12" t="s">
        <v>489</v>
      </c>
      <c r="C50" s="13" t="s">
        <v>56</v>
      </c>
      <c r="D50" s="16"/>
      <c r="E50" s="94">
        <f>SUM(E51:E53)</f>
        <v>43331.80000000001</v>
      </c>
    </row>
    <row r="51" spans="1:5" ht="60">
      <c r="A51" s="11" t="s">
        <v>11</v>
      </c>
      <c r="B51" s="12" t="s">
        <v>489</v>
      </c>
      <c r="C51" s="13" t="s">
        <v>56</v>
      </c>
      <c r="D51" s="16">
        <v>100</v>
      </c>
      <c r="E51" s="94">
        <f>26815.6+12355.2+349.3+495.8</f>
        <v>40015.900000000009</v>
      </c>
    </row>
    <row r="52" spans="1:5" s="27" customFormat="1" ht="30">
      <c r="A52" s="11" t="s">
        <v>54</v>
      </c>
      <c r="B52" s="12" t="s">
        <v>489</v>
      </c>
      <c r="C52" s="13" t="s">
        <v>56</v>
      </c>
      <c r="D52" s="16">
        <v>200</v>
      </c>
      <c r="E52" s="94">
        <f>1707.8+1569.6+528.3-349.3-6+50-189</f>
        <v>3311.3999999999996</v>
      </c>
    </row>
    <row r="53" spans="1:5">
      <c r="A53" s="18" t="s">
        <v>19</v>
      </c>
      <c r="B53" s="12" t="s">
        <v>489</v>
      </c>
      <c r="C53" s="13" t="s">
        <v>56</v>
      </c>
      <c r="D53" s="16">
        <v>800</v>
      </c>
      <c r="E53" s="94">
        <f>22+10-3-14.6-9.9</f>
        <v>4.5</v>
      </c>
    </row>
    <row r="54" spans="1:5" s="27" customFormat="1">
      <c r="A54" s="47" t="s">
        <v>555</v>
      </c>
      <c r="B54" s="84" t="s">
        <v>557</v>
      </c>
      <c r="C54" s="6"/>
      <c r="D54" s="7"/>
      <c r="E54" s="93">
        <f>E55</f>
        <v>1701.7</v>
      </c>
    </row>
    <row r="55" spans="1:5">
      <c r="A55" s="15" t="s">
        <v>9</v>
      </c>
      <c r="B55" s="30" t="s">
        <v>557</v>
      </c>
      <c r="C55" s="13" t="s">
        <v>47</v>
      </c>
      <c r="D55" s="16"/>
      <c r="E55" s="94">
        <f>E56</f>
        <v>1701.7</v>
      </c>
    </row>
    <row r="56" spans="1:5">
      <c r="A56" s="15" t="s">
        <v>556</v>
      </c>
      <c r="B56" s="30" t="s">
        <v>557</v>
      </c>
      <c r="C56" s="13" t="s">
        <v>558</v>
      </c>
      <c r="D56" s="16"/>
      <c r="E56" s="94">
        <f>E57</f>
        <v>1701.7</v>
      </c>
    </row>
    <row r="57" spans="1:5" ht="30">
      <c r="A57" s="15" t="s">
        <v>54</v>
      </c>
      <c r="B57" s="30" t="s">
        <v>557</v>
      </c>
      <c r="C57" s="13" t="s">
        <v>558</v>
      </c>
      <c r="D57" s="16">
        <v>200</v>
      </c>
      <c r="E57" s="94">
        <f>1923.3-221.6</f>
        <v>1701.7</v>
      </c>
    </row>
    <row r="58" spans="1:5">
      <c r="A58" s="4" t="s">
        <v>28</v>
      </c>
      <c r="B58" s="5" t="s">
        <v>29</v>
      </c>
      <c r="C58" s="6"/>
      <c r="D58" s="7"/>
      <c r="E58" s="93">
        <f>E59</f>
        <v>0</v>
      </c>
    </row>
    <row r="59" spans="1:5">
      <c r="A59" s="11" t="s">
        <v>9</v>
      </c>
      <c r="B59" s="12" t="s">
        <v>29</v>
      </c>
      <c r="C59" s="13" t="s">
        <v>47</v>
      </c>
      <c r="D59" s="16"/>
      <c r="E59" s="94">
        <f>E60</f>
        <v>0</v>
      </c>
    </row>
    <row r="60" spans="1:5">
      <c r="A60" s="11" t="s">
        <v>24</v>
      </c>
      <c r="B60" s="12" t="s">
        <v>29</v>
      </c>
      <c r="C60" s="13" t="s">
        <v>64</v>
      </c>
      <c r="D60" s="16"/>
      <c r="E60" s="94">
        <f>E61</f>
        <v>0</v>
      </c>
    </row>
    <row r="61" spans="1:5">
      <c r="A61" s="18" t="s">
        <v>19</v>
      </c>
      <c r="B61" s="12" t="s">
        <v>29</v>
      </c>
      <c r="C61" s="13" t="s">
        <v>65</v>
      </c>
      <c r="D61" s="16">
        <v>800</v>
      </c>
      <c r="E61" s="94">
        <f>30000-24103.6-5896.4</f>
        <v>0</v>
      </c>
    </row>
    <row r="62" spans="1:5">
      <c r="A62" s="4" t="s">
        <v>30</v>
      </c>
      <c r="B62" s="5" t="s">
        <v>31</v>
      </c>
      <c r="C62" s="6"/>
      <c r="D62" s="7"/>
      <c r="E62" s="93">
        <f>E63+E89+E96+E101</f>
        <v>279372.90000000002</v>
      </c>
    </row>
    <row r="63" spans="1:5">
      <c r="A63" s="11" t="s">
        <v>9</v>
      </c>
      <c r="B63" s="12" t="s">
        <v>31</v>
      </c>
      <c r="C63" s="13" t="s">
        <v>47</v>
      </c>
      <c r="D63" s="16"/>
      <c r="E63" s="94">
        <f>E64+E68+E72+E74+E84+E86+E80</f>
        <v>211195.00000000003</v>
      </c>
    </row>
    <row r="64" spans="1:5" ht="30">
      <c r="A64" s="20" t="s">
        <v>23</v>
      </c>
      <c r="B64" s="12" t="s">
        <v>31</v>
      </c>
      <c r="C64" s="13" t="s">
        <v>56</v>
      </c>
      <c r="D64" s="16"/>
      <c r="E64" s="94">
        <f>SUM(E65:E67)</f>
        <v>35639.600000000006</v>
      </c>
    </row>
    <row r="65" spans="1:5" ht="60">
      <c r="A65" s="11" t="s">
        <v>11</v>
      </c>
      <c r="B65" s="12" t="s">
        <v>31</v>
      </c>
      <c r="C65" s="13" t="s">
        <v>56</v>
      </c>
      <c r="D65" s="16">
        <v>100</v>
      </c>
      <c r="E65" s="94">
        <f>28400.5+117+299.2+145.9-128.7</f>
        <v>28833.9</v>
      </c>
    </row>
    <row r="66" spans="1:5" ht="30.75" customHeight="1">
      <c r="A66" s="11" t="s">
        <v>54</v>
      </c>
      <c r="B66" s="12" t="s">
        <v>31</v>
      </c>
      <c r="C66" s="13" t="s">
        <v>56</v>
      </c>
      <c r="D66" s="16">
        <v>200</v>
      </c>
      <c r="E66" s="94">
        <f>2977.6-167+124.1-83.3-416.7</f>
        <v>2434.6999999999998</v>
      </c>
    </row>
    <row r="67" spans="1:5">
      <c r="A67" s="18" t="s">
        <v>19</v>
      </c>
      <c r="B67" s="12" t="s">
        <v>31</v>
      </c>
      <c r="C67" s="13" t="s">
        <v>56</v>
      </c>
      <c r="D67" s="16">
        <v>800</v>
      </c>
      <c r="E67" s="94">
        <f>175+50+188.6+83.3+3874.1</f>
        <v>4371</v>
      </c>
    </row>
    <row r="68" spans="1:5" ht="30">
      <c r="A68" s="17" t="s">
        <v>32</v>
      </c>
      <c r="B68" s="12" t="s">
        <v>31</v>
      </c>
      <c r="C68" s="13" t="s">
        <v>66</v>
      </c>
      <c r="D68" s="16"/>
      <c r="E68" s="94">
        <f>SUM(E69:E71)</f>
        <v>82145.2</v>
      </c>
    </row>
    <row r="69" spans="1:5" ht="60">
      <c r="A69" s="11" t="s">
        <v>11</v>
      </c>
      <c r="B69" s="12" t="s">
        <v>31</v>
      </c>
      <c r="C69" s="13" t="s">
        <v>66</v>
      </c>
      <c r="D69" s="16">
        <v>100</v>
      </c>
      <c r="E69" s="94">
        <f>55172.6+43.7-184.2</f>
        <v>55032.1</v>
      </c>
    </row>
    <row r="70" spans="1:5" ht="30">
      <c r="A70" s="11" t="s">
        <v>54</v>
      </c>
      <c r="B70" s="12" t="s">
        <v>31</v>
      </c>
      <c r="C70" s="13" t="s">
        <v>66</v>
      </c>
      <c r="D70" s="16">
        <v>200</v>
      </c>
      <c r="E70" s="94">
        <f>25563.3+75+267.2-3.3-1249-126.4</f>
        <v>24526.799999999999</v>
      </c>
    </row>
    <row r="71" spans="1:5">
      <c r="A71" s="18" t="s">
        <v>19</v>
      </c>
      <c r="B71" s="12" t="s">
        <v>31</v>
      </c>
      <c r="C71" s="13" t="s">
        <v>66</v>
      </c>
      <c r="D71" s="16">
        <v>800</v>
      </c>
      <c r="E71" s="94">
        <f>3149.6-28.8-53.8-480.7</f>
        <v>2586.2999999999997</v>
      </c>
    </row>
    <row r="72" spans="1:5" ht="30">
      <c r="A72" s="20" t="s">
        <v>33</v>
      </c>
      <c r="B72" s="12" t="s">
        <v>31</v>
      </c>
      <c r="C72" s="13" t="s">
        <v>67</v>
      </c>
      <c r="D72" s="16"/>
      <c r="E72" s="9">
        <f>E73</f>
        <v>1536</v>
      </c>
    </row>
    <row r="73" spans="1:5" ht="30">
      <c r="A73" s="20" t="s">
        <v>34</v>
      </c>
      <c r="B73" s="12" t="s">
        <v>31</v>
      </c>
      <c r="C73" s="13" t="s">
        <v>67</v>
      </c>
      <c r="D73" s="16">
        <v>600</v>
      </c>
      <c r="E73" s="9">
        <f>1530+6</f>
        <v>1536</v>
      </c>
    </row>
    <row r="74" spans="1:5">
      <c r="A74" s="11" t="s">
        <v>35</v>
      </c>
      <c r="B74" s="12" t="s">
        <v>31</v>
      </c>
      <c r="C74" s="13" t="s">
        <v>68</v>
      </c>
      <c r="D74" s="16"/>
      <c r="E74" s="94">
        <f>E79+E76+E77+E78+E75</f>
        <v>25981.10000000002</v>
      </c>
    </row>
    <row r="75" spans="1:5">
      <c r="A75" s="11"/>
      <c r="B75" s="12" t="s">
        <v>31</v>
      </c>
      <c r="C75" s="13" t="s">
        <v>68</v>
      </c>
      <c r="D75" s="16">
        <v>100</v>
      </c>
      <c r="E75" s="94">
        <v>8.1999999999999993</v>
      </c>
    </row>
    <row r="76" spans="1:5" ht="30">
      <c r="A76" s="15" t="s">
        <v>54</v>
      </c>
      <c r="B76" s="12" t="s">
        <v>31</v>
      </c>
      <c r="C76" s="13" t="s">
        <v>68</v>
      </c>
      <c r="D76" s="16">
        <v>200</v>
      </c>
      <c r="E76" s="94">
        <f>265.4+17931.2+298.1-17931.2+113.3+5790.6+1.6</f>
        <v>6469.0000000000009</v>
      </c>
    </row>
    <row r="77" spans="1:5">
      <c r="A77" s="15" t="s">
        <v>37</v>
      </c>
      <c r="B77" s="12" t="s">
        <v>31</v>
      </c>
      <c r="C77" s="13" t="s">
        <v>68</v>
      </c>
      <c r="D77" s="16">
        <v>300</v>
      </c>
      <c r="E77" s="94">
        <f>6733+554.6+172.5-2.2-111.5</f>
        <v>7346.4000000000005</v>
      </c>
    </row>
    <row r="78" spans="1:5" ht="30">
      <c r="A78" s="80" t="s">
        <v>137</v>
      </c>
      <c r="B78" s="12" t="s">
        <v>31</v>
      </c>
      <c r="C78" s="13" t="s">
        <v>68</v>
      </c>
      <c r="D78" s="16">
        <v>400</v>
      </c>
      <c r="E78" s="94">
        <f>22000-19426.4+706.2+0.1</f>
        <v>3279.8999999999983</v>
      </c>
    </row>
    <row r="79" spans="1:5">
      <c r="A79" s="18" t="s">
        <v>19</v>
      </c>
      <c r="B79" s="12" t="s">
        <v>31</v>
      </c>
      <c r="C79" s="13" t="s">
        <v>68</v>
      </c>
      <c r="D79" s="16">
        <v>800</v>
      </c>
      <c r="E79" s="94">
        <f>21500+65718.1+85.6-24993.4-1581.4+813+7+25022.2+2103.8+0.1-31127.7-17931.2-6645.4-21102.8-153.2-171.5-0.1-3297.9+3+2.2+624.8+2.4</f>
        <v>8877.6000000000186</v>
      </c>
    </row>
    <row r="80" spans="1:5">
      <c r="A80" s="79" t="s">
        <v>566</v>
      </c>
      <c r="B80" s="12" t="s">
        <v>31</v>
      </c>
      <c r="C80" s="13" t="s">
        <v>567</v>
      </c>
      <c r="D80" s="16"/>
      <c r="E80" s="94">
        <f>+E82+E83+E81</f>
        <v>64568.9</v>
      </c>
    </row>
    <row r="81" spans="1:5" ht="30">
      <c r="A81" s="15" t="s">
        <v>54</v>
      </c>
      <c r="B81" s="12" t="s">
        <v>31</v>
      </c>
      <c r="C81" s="13" t="s">
        <v>567</v>
      </c>
      <c r="D81" s="16">
        <v>200</v>
      </c>
      <c r="E81" s="94">
        <f>175.7+17931.2+66.5+50</f>
        <v>18223.400000000001</v>
      </c>
    </row>
    <row r="82" spans="1:5" ht="30">
      <c r="A82" s="80" t="s">
        <v>137</v>
      </c>
      <c r="B82" s="12" t="s">
        <v>31</v>
      </c>
      <c r="C82" s="13" t="s">
        <v>567</v>
      </c>
      <c r="D82" s="16">
        <v>400</v>
      </c>
      <c r="E82" s="94">
        <f>22000</f>
        <v>22000</v>
      </c>
    </row>
    <row r="83" spans="1:5">
      <c r="A83" s="79" t="s">
        <v>19</v>
      </c>
      <c r="B83" s="12" t="s">
        <v>31</v>
      </c>
      <c r="C83" s="13" t="s">
        <v>567</v>
      </c>
      <c r="D83" s="16">
        <v>800</v>
      </c>
      <c r="E83" s="94">
        <f>3043.4+21212.1+90</f>
        <v>24345.5</v>
      </c>
    </row>
    <row r="84" spans="1:5" ht="30">
      <c r="A84" s="11" t="s">
        <v>36</v>
      </c>
      <c r="B84" s="12" t="s">
        <v>31</v>
      </c>
      <c r="C84" s="13" t="s">
        <v>69</v>
      </c>
      <c r="D84" s="16"/>
      <c r="E84" s="9">
        <f>E85</f>
        <v>781.59999999999991</v>
      </c>
    </row>
    <row r="85" spans="1:5">
      <c r="A85" s="11" t="s">
        <v>37</v>
      </c>
      <c r="B85" s="12" t="s">
        <v>31</v>
      </c>
      <c r="C85" s="13" t="s">
        <v>69</v>
      </c>
      <c r="D85" s="16">
        <v>300</v>
      </c>
      <c r="E85" s="9">
        <f>387.5+402.3-8.2</f>
        <v>781.59999999999991</v>
      </c>
    </row>
    <row r="86" spans="1:5">
      <c r="A86" s="79" t="s">
        <v>25</v>
      </c>
      <c r="B86" s="12" t="s">
        <v>31</v>
      </c>
      <c r="C86" s="13" t="s">
        <v>57</v>
      </c>
      <c r="D86" s="16"/>
      <c r="E86" s="9">
        <f>E87</f>
        <v>542.6</v>
      </c>
    </row>
    <row r="87" spans="1:5" ht="90">
      <c r="A87" s="79" t="s">
        <v>510</v>
      </c>
      <c r="B87" s="12" t="s">
        <v>31</v>
      </c>
      <c r="C87" s="13" t="s">
        <v>511</v>
      </c>
      <c r="D87" s="16"/>
      <c r="E87" s="9">
        <f>E88</f>
        <v>542.6</v>
      </c>
    </row>
    <row r="88" spans="1:5" ht="30">
      <c r="A88" s="15" t="s">
        <v>54</v>
      </c>
      <c r="B88" s="12" t="s">
        <v>31</v>
      </c>
      <c r="C88" s="13" t="s">
        <v>511</v>
      </c>
      <c r="D88" s="16">
        <v>200</v>
      </c>
      <c r="E88" s="94">
        <f>638.4-95.8</f>
        <v>542.6</v>
      </c>
    </row>
    <row r="89" spans="1:5" ht="30">
      <c r="A89" s="40" t="s">
        <v>587</v>
      </c>
      <c r="B89" s="23" t="s">
        <v>31</v>
      </c>
      <c r="C89" s="23" t="s">
        <v>70</v>
      </c>
      <c r="D89" s="25"/>
      <c r="E89" s="94">
        <f>SUM(E90)</f>
        <v>17985</v>
      </c>
    </row>
    <row r="90" spans="1:5" ht="45">
      <c r="A90" s="40" t="s">
        <v>588</v>
      </c>
      <c r="B90" s="23" t="s">
        <v>31</v>
      </c>
      <c r="C90" s="23" t="s">
        <v>71</v>
      </c>
      <c r="D90" s="25"/>
      <c r="E90" s="94">
        <f>SUM(E91)</f>
        <v>17985</v>
      </c>
    </row>
    <row r="91" spans="1:5" ht="45">
      <c r="A91" s="22" t="s">
        <v>72</v>
      </c>
      <c r="B91" s="23" t="s">
        <v>31</v>
      </c>
      <c r="C91" s="23" t="s">
        <v>73</v>
      </c>
      <c r="D91" s="25"/>
      <c r="E91" s="94">
        <f>SUM(E92)</f>
        <v>17985</v>
      </c>
    </row>
    <row r="92" spans="1:5" ht="30">
      <c r="A92" s="26" t="s">
        <v>38</v>
      </c>
      <c r="B92" s="23" t="s">
        <v>31</v>
      </c>
      <c r="C92" s="23" t="s">
        <v>74</v>
      </c>
      <c r="D92" s="25"/>
      <c r="E92" s="94">
        <f>SUM(E93:E95)</f>
        <v>17985</v>
      </c>
    </row>
    <row r="93" spans="1:5" ht="60">
      <c r="A93" s="26" t="s">
        <v>75</v>
      </c>
      <c r="B93" s="23" t="s">
        <v>31</v>
      </c>
      <c r="C93" s="23" t="s">
        <v>74</v>
      </c>
      <c r="D93" s="25">
        <v>100</v>
      </c>
      <c r="E93" s="94">
        <v>16696</v>
      </c>
    </row>
    <row r="94" spans="1:5" ht="30">
      <c r="A94" s="26" t="s">
        <v>18</v>
      </c>
      <c r="B94" s="23" t="s">
        <v>31</v>
      </c>
      <c r="C94" s="23" t="s">
        <v>74</v>
      </c>
      <c r="D94" s="25">
        <v>200</v>
      </c>
      <c r="E94" s="94">
        <v>1193</v>
      </c>
    </row>
    <row r="95" spans="1:5">
      <c r="A95" s="18" t="s">
        <v>19</v>
      </c>
      <c r="B95" s="23" t="s">
        <v>31</v>
      </c>
      <c r="C95" s="23" t="s">
        <v>74</v>
      </c>
      <c r="D95" s="25">
        <v>800</v>
      </c>
      <c r="E95" s="94">
        <v>96</v>
      </c>
    </row>
    <row r="96" spans="1:5" ht="60">
      <c r="A96" s="22" t="s">
        <v>39</v>
      </c>
      <c r="B96" s="23" t="s">
        <v>31</v>
      </c>
      <c r="C96" s="23" t="s">
        <v>76</v>
      </c>
      <c r="D96" s="25"/>
      <c r="E96" s="94">
        <f>SUM(E97)</f>
        <v>430</v>
      </c>
    </row>
    <row r="97" spans="1:5" ht="30">
      <c r="A97" s="18" t="s">
        <v>40</v>
      </c>
      <c r="B97" s="23" t="s">
        <v>31</v>
      </c>
      <c r="C97" s="23" t="s">
        <v>77</v>
      </c>
      <c r="D97" s="25"/>
      <c r="E97" s="94">
        <f>SUM(E98)</f>
        <v>430</v>
      </c>
    </row>
    <row r="98" spans="1:5" ht="45">
      <c r="A98" s="18" t="s">
        <v>78</v>
      </c>
      <c r="B98" s="23" t="s">
        <v>31</v>
      </c>
      <c r="C98" s="23" t="s">
        <v>79</v>
      </c>
      <c r="D98" s="25"/>
      <c r="E98" s="94">
        <f>SUM(E99)</f>
        <v>430</v>
      </c>
    </row>
    <row r="99" spans="1:5" ht="30">
      <c r="A99" s="18" t="s">
        <v>41</v>
      </c>
      <c r="B99" s="23" t="s">
        <v>31</v>
      </c>
      <c r="C99" s="23" t="s">
        <v>80</v>
      </c>
      <c r="D99" s="25"/>
      <c r="E99" s="94">
        <f>SUM(E100)</f>
        <v>430</v>
      </c>
    </row>
    <row r="100" spans="1:5" ht="30">
      <c r="A100" s="26" t="s">
        <v>18</v>
      </c>
      <c r="B100" s="23" t="s">
        <v>31</v>
      </c>
      <c r="C100" s="23" t="s">
        <v>80</v>
      </c>
      <c r="D100" s="25">
        <v>200</v>
      </c>
      <c r="E100" s="94">
        <f>1000-270-300</f>
        <v>430</v>
      </c>
    </row>
    <row r="101" spans="1:5" ht="30">
      <c r="A101" s="22" t="s">
        <v>42</v>
      </c>
      <c r="B101" s="23" t="s">
        <v>31</v>
      </c>
      <c r="C101" s="23" t="s">
        <v>81</v>
      </c>
      <c r="D101" s="25"/>
      <c r="E101" s="94">
        <f>SUM(E103+E105)</f>
        <v>49762.899999999994</v>
      </c>
    </row>
    <row r="102" spans="1:5" ht="30">
      <c r="A102" s="22" t="s">
        <v>82</v>
      </c>
      <c r="B102" s="23" t="s">
        <v>31</v>
      </c>
      <c r="C102" s="23" t="s">
        <v>83</v>
      </c>
      <c r="D102" s="25"/>
      <c r="E102" s="94">
        <f>E103+E105</f>
        <v>49762.899999999994</v>
      </c>
    </row>
    <row r="103" spans="1:5" hidden="1">
      <c r="A103" s="22" t="s">
        <v>43</v>
      </c>
      <c r="B103" s="23" t="s">
        <v>31</v>
      </c>
      <c r="C103" s="23" t="s">
        <v>84</v>
      </c>
      <c r="D103" s="25"/>
      <c r="E103" s="94">
        <f>SUM(E104)</f>
        <v>0</v>
      </c>
    </row>
    <row r="104" spans="1:5" ht="30" hidden="1">
      <c r="A104" s="11" t="s">
        <v>54</v>
      </c>
      <c r="B104" s="23" t="s">
        <v>31</v>
      </c>
      <c r="C104" s="23" t="s">
        <v>84</v>
      </c>
      <c r="D104" s="25">
        <v>200</v>
      </c>
      <c r="E104" s="94">
        <f>230-230</f>
        <v>0</v>
      </c>
    </row>
    <row r="105" spans="1:5" ht="30">
      <c r="A105" s="26" t="s">
        <v>38</v>
      </c>
      <c r="B105" s="23" t="s">
        <v>31</v>
      </c>
      <c r="C105" s="23" t="s">
        <v>85</v>
      </c>
      <c r="D105" s="25"/>
      <c r="E105" s="94">
        <f>SUM(E106)</f>
        <v>49762.899999999994</v>
      </c>
    </row>
    <row r="106" spans="1:5" ht="30">
      <c r="A106" s="26" t="s">
        <v>44</v>
      </c>
      <c r="B106" s="23" t="s">
        <v>31</v>
      </c>
      <c r="C106" s="23" t="s">
        <v>85</v>
      </c>
      <c r="D106" s="25">
        <v>600</v>
      </c>
      <c r="E106" s="94">
        <f>49834.6-12719+12647.3</f>
        <v>49762.899999999994</v>
      </c>
    </row>
    <row r="107" spans="1:5">
      <c r="A107" s="4" t="s">
        <v>86</v>
      </c>
      <c r="B107" s="5" t="s">
        <v>87</v>
      </c>
      <c r="C107" s="6"/>
      <c r="D107" s="7"/>
      <c r="E107" s="93">
        <f>E108</f>
        <v>113</v>
      </c>
    </row>
    <row r="108" spans="1:5">
      <c r="A108" s="4" t="s">
        <v>88</v>
      </c>
      <c r="B108" s="5" t="s">
        <v>89</v>
      </c>
      <c r="C108" s="6"/>
      <c r="D108" s="7"/>
      <c r="E108" s="93">
        <f>E109</f>
        <v>113</v>
      </c>
    </row>
    <row r="109" spans="1:5" s="27" customFormat="1">
      <c r="A109" s="11" t="s">
        <v>9</v>
      </c>
      <c r="B109" s="12" t="s">
        <v>89</v>
      </c>
      <c r="C109" s="13" t="s">
        <v>47</v>
      </c>
      <c r="D109" s="16"/>
      <c r="E109" s="94">
        <f>SUM(E110+E112)</f>
        <v>113</v>
      </c>
    </row>
    <row r="110" spans="1:5">
      <c r="A110" s="11" t="s">
        <v>90</v>
      </c>
      <c r="B110" s="12" t="s">
        <v>89</v>
      </c>
      <c r="C110" s="13" t="s">
        <v>91</v>
      </c>
      <c r="D110" s="16"/>
      <c r="E110" s="94">
        <f>E111</f>
        <v>50</v>
      </c>
    </row>
    <row r="111" spans="1:5" ht="30">
      <c r="A111" s="11" t="s">
        <v>54</v>
      </c>
      <c r="B111" s="12" t="s">
        <v>89</v>
      </c>
      <c r="C111" s="13" t="s">
        <v>91</v>
      </c>
      <c r="D111" s="16">
        <v>200</v>
      </c>
      <c r="E111" s="94">
        <v>50</v>
      </c>
    </row>
    <row r="112" spans="1:5">
      <c r="A112" s="11" t="s">
        <v>92</v>
      </c>
      <c r="B112" s="12" t="s">
        <v>89</v>
      </c>
      <c r="C112" s="13" t="s">
        <v>93</v>
      </c>
      <c r="D112" s="16"/>
      <c r="E112" s="94">
        <f>SUM(E113:E114)</f>
        <v>63</v>
      </c>
    </row>
    <row r="113" spans="1:5" ht="30">
      <c r="A113" s="11" t="s">
        <v>54</v>
      </c>
      <c r="B113" s="12" t="s">
        <v>89</v>
      </c>
      <c r="C113" s="13" t="s">
        <v>93</v>
      </c>
      <c r="D113" s="16">
        <v>200</v>
      </c>
      <c r="E113" s="94">
        <f>85-5-24</f>
        <v>56</v>
      </c>
    </row>
    <row r="114" spans="1:5">
      <c r="A114" s="11" t="s">
        <v>37</v>
      </c>
      <c r="B114" s="12" t="s">
        <v>89</v>
      </c>
      <c r="C114" s="13" t="s">
        <v>93</v>
      </c>
      <c r="D114" s="16">
        <v>300</v>
      </c>
      <c r="E114" s="94">
        <f>10-3</f>
        <v>7</v>
      </c>
    </row>
    <row r="115" spans="1:5" ht="29.25">
      <c r="A115" s="47" t="s">
        <v>94</v>
      </c>
      <c r="B115" s="5" t="s">
        <v>95</v>
      </c>
      <c r="C115" s="6"/>
      <c r="D115" s="7"/>
      <c r="E115" s="93">
        <f>SUM(E116)</f>
        <v>76322.8</v>
      </c>
    </row>
    <row r="116" spans="1:5" ht="28.5">
      <c r="A116" s="28" t="s">
        <v>96</v>
      </c>
      <c r="B116" s="5" t="s">
        <v>97</v>
      </c>
      <c r="C116" s="6"/>
      <c r="D116" s="7"/>
      <c r="E116" s="93">
        <f>SUM(E117)</f>
        <v>76322.8</v>
      </c>
    </row>
    <row r="117" spans="1:5" ht="45">
      <c r="A117" s="29" t="s">
        <v>98</v>
      </c>
      <c r="B117" s="12" t="s">
        <v>97</v>
      </c>
      <c r="C117" s="13" t="s">
        <v>99</v>
      </c>
      <c r="D117" s="16"/>
      <c r="E117" s="94">
        <f>SUM(E118+E126+E133+E138)</f>
        <v>76322.8</v>
      </c>
    </row>
    <row r="118" spans="1:5" ht="30">
      <c r="A118" s="29" t="s">
        <v>100</v>
      </c>
      <c r="B118" s="12" t="s">
        <v>97</v>
      </c>
      <c r="C118" s="13" t="s">
        <v>101</v>
      </c>
      <c r="D118" s="16"/>
      <c r="E118" s="94">
        <f>SUM(E119)</f>
        <v>24253.099999999995</v>
      </c>
    </row>
    <row r="119" spans="1:5" ht="30">
      <c r="A119" s="60" t="s">
        <v>102</v>
      </c>
      <c r="B119" s="12" t="s">
        <v>97</v>
      </c>
      <c r="C119" s="13" t="s">
        <v>103</v>
      </c>
      <c r="D119" s="16"/>
      <c r="E119" s="94">
        <f>SUM(E122+E124)+E120</f>
        <v>24253.099999999995</v>
      </c>
    </row>
    <row r="120" spans="1:5" ht="30" hidden="1">
      <c r="A120" s="60" t="s">
        <v>561</v>
      </c>
      <c r="B120" s="12" t="s">
        <v>97</v>
      </c>
      <c r="C120" s="13" t="s">
        <v>562</v>
      </c>
      <c r="D120" s="16"/>
      <c r="E120" s="94">
        <f>E121</f>
        <v>0</v>
      </c>
    </row>
    <row r="121" spans="1:5" ht="30" hidden="1">
      <c r="A121" s="15" t="s">
        <v>54</v>
      </c>
      <c r="B121" s="12" t="s">
        <v>97</v>
      </c>
      <c r="C121" s="13" t="s">
        <v>562</v>
      </c>
      <c r="D121" s="16">
        <v>200</v>
      </c>
      <c r="E121" s="94">
        <f>255.6-255.6</f>
        <v>0</v>
      </c>
    </row>
    <row r="122" spans="1:5" s="27" customFormat="1">
      <c r="A122" s="29" t="s">
        <v>104</v>
      </c>
      <c r="B122" s="12" t="s">
        <v>97</v>
      </c>
      <c r="C122" s="13" t="s">
        <v>105</v>
      </c>
      <c r="D122" s="16"/>
      <c r="E122" s="94">
        <f>E123</f>
        <v>23404.499999999996</v>
      </c>
    </row>
    <row r="123" spans="1:5" s="27" customFormat="1" ht="30">
      <c r="A123" s="11" t="s">
        <v>54</v>
      </c>
      <c r="B123" s="12" t="s">
        <v>97</v>
      </c>
      <c r="C123" s="13" t="s">
        <v>105</v>
      </c>
      <c r="D123" s="16">
        <v>200</v>
      </c>
      <c r="E123" s="94">
        <f>18632.1-441.9+255.6+4958.7</f>
        <v>23404.499999999996</v>
      </c>
    </row>
    <row r="124" spans="1:5" s="27" customFormat="1" ht="104.25" customHeight="1">
      <c r="A124" s="15" t="s">
        <v>502</v>
      </c>
      <c r="B124" s="12" t="s">
        <v>97</v>
      </c>
      <c r="C124" s="13" t="s">
        <v>106</v>
      </c>
      <c r="D124" s="16"/>
      <c r="E124" s="94">
        <f>E125</f>
        <v>848.6</v>
      </c>
    </row>
    <row r="125" spans="1:5" s="27" customFormat="1" ht="30">
      <c r="A125" s="11" t="s">
        <v>54</v>
      </c>
      <c r="B125" s="12" t="s">
        <v>97</v>
      </c>
      <c r="C125" s="13" t="s">
        <v>106</v>
      </c>
      <c r="D125" s="16">
        <v>200</v>
      </c>
      <c r="E125" s="94">
        <v>848.6</v>
      </c>
    </row>
    <row r="126" spans="1:5" ht="45">
      <c r="A126" s="11" t="s">
        <v>107</v>
      </c>
      <c r="B126" s="12" t="s">
        <v>97</v>
      </c>
      <c r="C126" s="13" t="s">
        <v>108</v>
      </c>
      <c r="D126" s="16"/>
      <c r="E126" s="94">
        <f>SUM(E127)</f>
        <v>2272.5000000000005</v>
      </c>
    </row>
    <row r="127" spans="1:5" ht="30">
      <c r="A127" s="11" t="s">
        <v>109</v>
      </c>
      <c r="B127" s="12" t="s">
        <v>97</v>
      </c>
      <c r="C127" s="13" t="s">
        <v>110</v>
      </c>
      <c r="D127" s="16"/>
      <c r="E127" s="94">
        <f>SUM(E128+E130)</f>
        <v>2272.5000000000005</v>
      </c>
    </row>
    <row r="128" spans="1:5" ht="30">
      <c r="A128" s="11" t="s">
        <v>111</v>
      </c>
      <c r="B128" s="30" t="s">
        <v>97</v>
      </c>
      <c r="C128" s="30" t="s">
        <v>112</v>
      </c>
      <c r="D128" s="30"/>
      <c r="E128" s="94">
        <f>E129</f>
        <v>57.3</v>
      </c>
    </row>
    <row r="129" spans="1:5" ht="30">
      <c r="A129" s="11" t="s">
        <v>54</v>
      </c>
      <c r="B129" s="30" t="s">
        <v>97</v>
      </c>
      <c r="C129" s="30" t="s">
        <v>112</v>
      </c>
      <c r="D129" s="30" t="s">
        <v>27</v>
      </c>
      <c r="E129" s="94">
        <f>70-12.7</f>
        <v>57.3</v>
      </c>
    </row>
    <row r="130" spans="1:5" ht="30">
      <c r="A130" s="49" t="s">
        <v>113</v>
      </c>
      <c r="B130" s="12" t="s">
        <v>97</v>
      </c>
      <c r="C130" s="30" t="s">
        <v>114</v>
      </c>
      <c r="D130" s="16"/>
      <c r="E130" s="94">
        <f>E131+E132</f>
        <v>2215.2000000000003</v>
      </c>
    </row>
    <row r="131" spans="1:5" ht="60">
      <c r="A131" s="11" t="s">
        <v>11</v>
      </c>
      <c r="B131" s="12" t="s">
        <v>97</v>
      </c>
      <c r="C131" s="30" t="s">
        <v>114</v>
      </c>
      <c r="D131" s="16">
        <v>100</v>
      </c>
      <c r="E131" s="94">
        <f>1908-0.1</f>
        <v>1907.9</v>
      </c>
    </row>
    <row r="132" spans="1:5" ht="30">
      <c r="A132" s="11" t="s">
        <v>54</v>
      </c>
      <c r="B132" s="12" t="s">
        <v>97</v>
      </c>
      <c r="C132" s="30" t="s">
        <v>114</v>
      </c>
      <c r="D132" s="16">
        <v>200</v>
      </c>
      <c r="E132" s="94">
        <f>388.1-80.8</f>
        <v>307.3</v>
      </c>
    </row>
    <row r="133" spans="1:5" ht="30">
      <c r="A133" s="29" t="s">
        <v>115</v>
      </c>
      <c r="B133" s="12" t="s">
        <v>97</v>
      </c>
      <c r="C133" s="13" t="s">
        <v>116</v>
      </c>
      <c r="D133" s="16"/>
      <c r="E133" s="94">
        <f>SUM(E134)</f>
        <v>3239.1</v>
      </c>
    </row>
    <row r="134" spans="1:5" ht="30">
      <c r="A134" s="29" t="s">
        <v>117</v>
      </c>
      <c r="B134" s="12" t="s">
        <v>97</v>
      </c>
      <c r="C134" s="13" t="s">
        <v>118</v>
      </c>
      <c r="D134" s="16"/>
      <c r="E134" s="94">
        <f>SUM(E135)</f>
        <v>3239.1</v>
      </c>
    </row>
    <row r="135" spans="1:5">
      <c r="A135" s="29" t="s">
        <v>119</v>
      </c>
      <c r="B135" s="12" t="s">
        <v>97</v>
      </c>
      <c r="C135" s="13" t="s">
        <v>120</v>
      </c>
      <c r="D135" s="16"/>
      <c r="E135" s="94">
        <f>SUM(E136:E137)</f>
        <v>3239.1</v>
      </c>
    </row>
    <row r="136" spans="1:5" ht="60">
      <c r="A136" s="11" t="s">
        <v>11</v>
      </c>
      <c r="B136" s="12" t="s">
        <v>97</v>
      </c>
      <c r="C136" s="13" t="s">
        <v>120</v>
      </c>
      <c r="D136" s="16">
        <v>100</v>
      </c>
      <c r="E136" s="94">
        <f>1171.8+53.8</f>
        <v>1225.5999999999999</v>
      </c>
    </row>
    <row r="137" spans="1:5" ht="30">
      <c r="A137" s="11" t="s">
        <v>54</v>
      </c>
      <c r="B137" s="12" t="s">
        <v>97</v>
      </c>
      <c r="C137" s="13" t="s">
        <v>120</v>
      </c>
      <c r="D137" s="16">
        <v>200</v>
      </c>
      <c r="E137" s="94">
        <f>1762.7-124.2+375</f>
        <v>2013.5</v>
      </c>
    </row>
    <row r="138" spans="1:5" ht="45" customHeight="1">
      <c r="A138" s="11" t="s">
        <v>121</v>
      </c>
      <c r="B138" s="12" t="s">
        <v>97</v>
      </c>
      <c r="C138" s="13" t="s">
        <v>496</v>
      </c>
      <c r="D138" s="16"/>
      <c r="E138" s="94">
        <f>SUM(E139)</f>
        <v>46558.100000000006</v>
      </c>
    </row>
    <row r="139" spans="1:5" ht="45">
      <c r="A139" s="15" t="s">
        <v>579</v>
      </c>
      <c r="B139" s="12" t="s">
        <v>97</v>
      </c>
      <c r="C139" s="13" t="s">
        <v>497</v>
      </c>
      <c r="D139" s="16"/>
      <c r="E139" s="94">
        <f>SUM(E140)</f>
        <v>46558.100000000006</v>
      </c>
    </row>
    <row r="140" spans="1:5" ht="30">
      <c r="A140" s="17" t="s">
        <v>32</v>
      </c>
      <c r="B140" s="12" t="s">
        <v>97</v>
      </c>
      <c r="C140" s="21" t="s">
        <v>498</v>
      </c>
      <c r="D140" s="16"/>
      <c r="E140" s="94">
        <f>SUM(E141:E143)</f>
        <v>46558.100000000006</v>
      </c>
    </row>
    <row r="141" spans="1:5" ht="60">
      <c r="A141" s="11" t="s">
        <v>11</v>
      </c>
      <c r="B141" s="12" t="s">
        <v>97</v>
      </c>
      <c r="C141" s="21" t="s">
        <v>498</v>
      </c>
      <c r="D141" s="16">
        <v>100</v>
      </c>
      <c r="E141" s="94">
        <f>44211.4+57.8+66.8-116.3-2658.2-2735.3</f>
        <v>38826.200000000004</v>
      </c>
    </row>
    <row r="142" spans="1:5" ht="30">
      <c r="A142" s="11" t="s">
        <v>54</v>
      </c>
      <c r="B142" s="12" t="s">
        <v>97</v>
      </c>
      <c r="C142" s="21" t="s">
        <v>498</v>
      </c>
      <c r="D142" s="16">
        <v>200</v>
      </c>
      <c r="E142" s="94">
        <f>-57.8+209.3+3093.9-66.8+186.3+116.3+2818.2+833.7</f>
        <v>7133.0999999999995</v>
      </c>
    </row>
    <row r="143" spans="1:5">
      <c r="A143" s="18" t="s">
        <v>19</v>
      </c>
      <c r="B143" s="12" t="s">
        <v>97</v>
      </c>
      <c r="C143" s="21" t="s">
        <v>498</v>
      </c>
      <c r="D143" s="16">
        <v>800</v>
      </c>
      <c r="E143" s="94">
        <v>598.79999999999995</v>
      </c>
    </row>
    <row r="144" spans="1:5">
      <c r="A144" s="31" t="s">
        <v>122</v>
      </c>
      <c r="B144" s="32" t="s">
        <v>123</v>
      </c>
      <c r="C144" s="32"/>
      <c r="D144" s="34"/>
      <c r="E144" s="93">
        <f>E145+E157+E165+E223+E183</f>
        <v>1019315</v>
      </c>
    </row>
    <row r="145" spans="1:5">
      <c r="A145" s="35" t="s">
        <v>124</v>
      </c>
      <c r="B145" s="32" t="s">
        <v>125</v>
      </c>
      <c r="C145" s="32"/>
      <c r="D145" s="34"/>
      <c r="E145" s="93">
        <f>SUM(E146+E150)</f>
        <v>2566.6999999999998</v>
      </c>
    </row>
    <row r="146" spans="1:5" hidden="1">
      <c r="A146" s="11" t="s">
        <v>9</v>
      </c>
      <c r="B146" s="23" t="s">
        <v>125</v>
      </c>
      <c r="C146" s="21" t="s">
        <v>47</v>
      </c>
      <c r="D146" s="25"/>
      <c r="E146" s="94">
        <f>SUM(E147)</f>
        <v>0</v>
      </c>
    </row>
    <row r="147" spans="1:5" hidden="1">
      <c r="A147" s="18" t="s">
        <v>25</v>
      </c>
      <c r="B147" s="23" t="s">
        <v>125</v>
      </c>
      <c r="C147" s="23" t="s">
        <v>57</v>
      </c>
      <c r="D147" s="25"/>
      <c r="E147" s="94">
        <f>SUM(E148)</f>
        <v>0</v>
      </c>
    </row>
    <row r="148" spans="1:5" ht="105" hidden="1">
      <c r="A148" s="73" t="s">
        <v>126</v>
      </c>
      <c r="B148" s="23" t="s">
        <v>125</v>
      </c>
      <c r="C148" s="13" t="s">
        <v>127</v>
      </c>
      <c r="D148" s="25"/>
      <c r="E148" s="94">
        <f>SUM(E149)</f>
        <v>0</v>
      </c>
    </row>
    <row r="149" spans="1:5" ht="30" hidden="1">
      <c r="A149" s="11" t="s">
        <v>54</v>
      </c>
      <c r="B149" s="23" t="s">
        <v>125</v>
      </c>
      <c r="C149" s="13" t="s">
        <v>127</v>
      </c>
      <c r="D149" s="25">
        <v>200</v>
      </c>
      <c r="E149" s="94">
        <f>735.3-735.3</f>
        <v>0</v>
      </c>
    </row>
    <row r="150" spans="1:5" ht="45">
      <c r="A150" s="11" t="s">
        <v>98</v>
      </c>
      <c r="B150" s="23" t="s">
        <v>125</v>
      </c>
      <c r="C150" s="13" t="s">
        <v>99</v>
      </c>
      <c r="D150" s="25"/>
      <c r="E150" s="94">
        <f>SUM(E151)</f>
        <v>2566.6999999999998</v>
      </c>
    </row>
    <row r="151" spans="1:5" ht="30">
      <c r="A151" s="11" t="s">
        <v>128</v>
      </c>
      <c r="B151" s="23" t="s">
        <v>125</v>
      </c>
      <c r="C151" s="13" t="s">
        <v>129</v>
      </c>
      <c r="D151" s="25"/>
      <c r="E151" s="94">
        <f>E152</f>
        <v>2566.6999999999998</v>
      </c>
    </row>
    <row r="152" spans="1:5" ht="30">
      <c r="A152" s="22" t="s">
        <v>130</v>
      </c>
      <c r="B152" s="23" t="s">
        <v>125</v>
      </c>
      <c r="C152" s="13" t="s">
        <v>131</v>
      </c>
      <c r="D152" s="25"/>
      <c r="E152" s="94">
        <f>E153+E155</f>
        <v>2566.6999999999998</v>
      </c>
    </row>
    <row r="153" spans="1:5" ht="30">
      <c r="A153" s="11" t="s">
        <v>132</v>
      </c>
      <c r="B153" s="23" t="s">
        <v>125</v>
      </c>
      <c r="C153" s="13" t="s">
        <v>133</v>
      </c>
      <c r="D153" s="25"/>
      <c r="E153" s="94">
        <f>SUM(E154)</f>
        <v>500</v>
      </c>
    </row>
    <row r="154" spans="1:5" ht="30">
      <c r="A154" s="11" t="s">
        <v>54</v>
      </c>
      <c r="B154" s="23" t="s">
        <v>125</v>
      </c>
      <c r="C154" s="13" t="s">
        <v>133</v>
      </c>
      <c r="D154" s="25">
        <v>200</v>
      </c>
      <c r="E154" s="94">
        <f>500</f>
        <v>500</v>
      </c>
    </row>
    <row r="155" spans="1:5" ht="165">
      <c r="A155" s="37" t="s">
        <v>512</v>
      </c>
      <c r="B155" s="23" t="s">
        <v>125</v>
      </c>
      <c r="C155" s="13" t="s">
        <v>513</v>
      </c>
      <c r="D155" s="25"/>
      <c r="E155" s="94">
        <f>E156</f>
        <v>2066.6999999999998</v>
      </c>
    </row>
    <row r="156" spans="1:5" ht="30">
      <c r="A156" s="15" t="s">
        <v>54</v>
      </c>
      <c r="B156" s="23" t="s">
        <v>125</v>
      </c>
      <c r="C156" s="13" t="s">
        <v>513</v>
      </c>
      <c r="D156" s="25">
        <v>200</v>
      </c>
      <c r="E156" s="94">
        <f>735.3+1331.4</f>
        <v>2066.6999999999998</v>
      </c>
    </row>
    <row r="157" spans="1:5">
      <c r="A157" s="31" t="s">
        <v>134</v>
      </c>
      <c r="B157" s="32" t="s">
        <v>135</v>
      </c>
      <c r="C157" s="32"/>
      <c r="D157" s="34"/>
      <c r="E157" s="93">
        <f>SUM(E158)</f>
        <v>99.999999999998522</v>
      </c>
    </row>
    <row r="158" spans="1:5" ht="45">
      <c r="A158" s="22" t="s">
        <v>98</v>
      </c>
      <c r="B158" s="23" t="s">
        <v>135</v>
      </c>
      <c r="C158" s="23" t="s">
        <v>99</v>
      </c>
      <c r="D158" s="25"/>
      <c r="E158" s="94">
        <f>SUM(E159)</f>
        <v>99.999999999998522</v>
      </c>
    </row>
    <row r="159" spans="1:5" ht="30">
      <c r="A159" s="22" t="s">
        <v>128</v>
      </c>
      <c r="B159" s="23" t="s">
        <v>135</v>
      </c>
      <c r="C159" s="23" t="s">
        <v>129</v>
      </c>
      <c r="D159" s="25"/>
      <c r="E159" s="94">
        <f>SUM(E160+E163)</f>
        <v>99.999999999998522</v>
      </c>
    </row>
    <row r="160" spans="1:5" ht="30">
      <c r="A160" s="22" t="s">
        <v>130</v>
      </c>
      <c r="B160" s="23" t="s">
        <v>135</v>
      </c>
      <c r="C160" s="23" t="s">
        <v>131</v>
      </c>
      <c r="D160" s="25"/>
      <c r="E160" s="94">
        <f>SUM(E161)</f>
        <v>99.999999999998522</v>
      </c>
    </row>
    <row r="161" spans="1:5" ht="30">
      <c r="A161" s="36" t="s">
        <v>591</v>
      </c>
      <c r="B161" s="23" t="s">
        <v>135</v>
      </c>
      <c r="C161" s="23" t="s">
        <v>136</v>
      </c>
      <c r="D161" s="25"/>
      <c r="E161" s="94">
        <f>SUM(E162)</f>
        <v>99.999999999998522</v>
      </c>
    </row>
    <row r="162" spans="1:5" ht="30">
      <c r="A162" s="26" t="s">
        <v>137</v>
      </c>
      <c r="B162" s="23" t="s">
        <v>135</v>
      </c>
      <c r="C162" s="23" t="s">
        <v>136</v>
      </c>
      <c r="D162" s="25">
        <v>400</v>
      </c>
      <c r="E162" s="94">
        <f>23064.6-22500-464.6</f>
        <v>99.999999999998522</v>
      </c>
    </row>
    <row r="163" spans="1:5" ht="45" hidden="1">
      <c r="A163" s="80" t="s">
        <v>503</v>
      </c>
      <c r="B163" s="23" t="s">
        <v>135</v>
      </c>
      <c r="C163" s="23" t="s">
        <v>504</v>
      </c>
      <c r="D163" s="25"/>
      <c r="E163" s="94">
        <f>E164</f>
        <v>0</v>
      </c>
    </row>
    <row r="164" spans="1:5" ht="30" hidden="1">
      <c r="A164" s="80" t="s">
        <v>137</v>
      </c>
      <c r="B164" s="23" t="s">
        <v>135</v>
      </c>
      <c r="C164" s="23" t="s">
        <v>504</v>
      </c>
      <c r="D164" s="25">
        <v>400</v>
      </c>
      <c r="E164" s="94">
        <f>500+640-893.5-246.5</f>
        <v>0</v>
      </c>
    </row>
    <row r="165" spans="1:5">
      <c r="A165" s="31" t="s">
        <v>138</v>
      </c>
      <c r="B165" s="32" t="s">
        <v>139</v>
      </c>
      <c r="C165" s="32"/>
      <c r="D165" s="34"/>
      <c r="E165" s="93">
        <f>SUM(E166)</f>
        <v>59229.80000000001</v>
      </c>
    </row>
    <row r="166" spans="1:5" ht="30">
      <c r="A166" s="22" t="s">
        <v>140</v>
      </c>
      <c r="B166" s="23" t="s">
        <v>139</v>
      </c>
      <c r="C166" s="23" t="s">
        <v>141</v>
      </c>
      <c r="D166" s="25"/>
      <c r="E166" s="94">
        <f>SUM(E167)</f>
        <v>59229.80000000001</v>
      </c>
    </row>
    <row r="167" spans="1:5" ht="30">
      <c r="A167" s="22" t="s">
        <v>142</v>
      </c>
      <c r="B167" s="23" t="s">
        <v>139</v>
      </c>
      <c r="C167" s="23" t="s">
        <v>143</v>
      </c>
      <c r="D167" s="25"/>
      <c r="E167" s="94">
        <f>SUM(E168)</f>
        <v>59229.80000000001</v>
      </c>
    </row>
    <row r="168" spans="1:5" ht="45">
      <c r="A168" s="22" t="s">
        <v>144</v>
      </c>
      <c r="B168" s="23" t="s">
        <v>139</v>
      </c>
      <c r="C168" s="23" t="s">
        <v>145</v>
      </c>
      <c r="D168" s="25"/>
      <c r="E168" s="94">
        <f>SUM(E169+E175+E177+E179)+E171+E173+E181</f>
        <v>59229.80000000001</v>
      </c>
    </row>
    <row r="169" spans="1:5" ht="30">
      <c r="A169" s="26" t="s">
        <v>38</v>
      </c>
      <c r="B169" s="23" t="s">
        <v>139</v>
      </c>
      <c r="C169" s="23" t="s">
        <v>146</v>
      </c>
      <c r="D169" s="25"/>
      <c r="E169" s="94">
        <f>SUM(E170)</f>
        <v>4159.8</v>
      </c>
    </row>
    <row r="170" spans="1:5" ht="30">
      <c r="A170" s="26" t="s">
        <v>44</v>
      </c>
      <c r="B170" s="23" t="s">
        <v>139</v>
      </c>
      <c r="C170" s="23" t="s">
        <v>146</v>
      </c>
      <c r="D170" s="25">
        <v>600</v>
      </c>
      <c r="E170" s="94">
        <v>4159.8</v>
      </c>
    </row>
    <row r="171" spans="1:5" ht="45">
      <c r="A171" s="43" t="s">
        <v>516</v>
      </c>
      <c r="B171" s="23" t="s">
        <v>139</v>
      </c>
      <c r="C171" s="23" t="s">
        <v>517</v>
      </c>
      <c r="D171" s="25"/>
      <c r="E171" s="94">
        <f>E172</f>
        <v>63.7</v>
      </c>
    </row>
    <row r="172" spans="1:5" ht="30">
      <c r="A172" s="15" t="s">
        <v>54</v>
      </c>
      <c r="B172" s="23" t="s">
        <v>139</v>
      </c>
      <c r="C172" s="23" t="s">
        <v>517</v>
      </c>
      <c r="D172" s="25">
        <v>200</v>
      </c>
      <c r="E172" s="94">
        <f>81.2-17.5</f>
        <v>63.7</v>
      </c>
    </row>
    <row r="173" spans="1:5" ht="113.25" customHeight="1">
      <c r="A173" s="49" t="s">
        <v>593</v>
      </c>
      <c r="B173" s="23" t="s">
        <v>139</v>
      </c>
      <c r="C173" s="25" t="s">
        <v>592</v>
      </c>
      <c r="D173" s="25"/>
      <c r="E173" s="94">
        <f>E174</f>
        <v>678.3</v>
      </c>
    </row>
    <row r="174" spans="1:5">
      <c r="A174" s="37" t="s">
        <v>19</v>
      </c>
      <c r="B174" s="23" t="s">
        <v>139</v>
      </c>
      <c r="C174" s="25" t="s">
        <v>592</v>
      </c>
      <c r="D174" s="25">
        <v>800</v>
      </c>
      <c r="E174" s="94">
        <v>678.3</v>
      </c>
    </row>
    <row r="175" spans="1:5" ht="45">
      <c r="A175" s="22" t="s">
        <v>147</v>
      </c>
      <c r="B175" s="23" t="s">
        <v>139</v>
      </c>
      <c r="C175" s="23" t="s">
        <v>148</v>
      </c>
      <c r="D175" s="25"/>
      <c r="E175" s="94">
        <f>SUM(E176)</f>
        <v>43719.700000000004</v>
      </c>
    </row>
    <row r="176" spans="1:5">
      <c r="A176" s="26" t="s">
        <v>19</v>
      </c>
      <c r="B176" s="23" t="s">
        <v>139</v>
      </c>
      <c r="C176" s="23" t="s">
        <v>148</v>
      </c>
      <c r="D176" s="25">
        <v>800</v>
      </c>
      <c r="E176" s="94">
        <f>36082.9+7636.8</f>
        <v>43719.700000000004</v>
      </c>
    </row>
    <row r="177" spans="1:5" ht="90">
      <c r="A177" s="22" t="s">
        <v>149</v>
      </c>
      <c r="B177" s="23" t="s">
        <v>139</v>
      </c>
      <c r="C177" s="23" t="s">
        <v>150</v>
      </c>
      <c r="D177" s="25"/>
      <c r="E177" s="94">
        <f>SUM(E178)</f>
        <v>9535.9</v>
      </c>
    </row>
    <row r="178" spans="1:5">
      <c r="A178" s="26" t="s">
        <v>19</v>
      </c>
      <c r="B178" s="23" t="s">
        <v>139</v>
      </c>
      <c r="C178" s="23" t="s">
        <v>150</v>
      </c>
      <c r="D178" s="25">
        <v>800</v>
      </c>
      <c r="E178" s="94">
        <f>1045.6+8490.3</f>
        <v>9535.9</v>
      </c>
    </row>
    <row r="179" spans="1:5" ht="75">
      <c r="A179" s="39" t="s">
        <v>151</v>
      </c>
      <c r="B179" s="23" t="s">
        <v>139</v>
      </c>
      <c r="C179" s="23" t="s">
        <v>152</v>
      </c>
      <c r="D179" s="25"/>
      <c r="E179" s="94">
        <f>SUM(E180)</f>
        <v>993.5</v>
      </c>
    </row>
    <row r="180" spans="1:5">
      <c r="A180" s="26" t="s">
        <v>19</v>
      </c>
      <c r="B180" s="23" t="s">
        <v>139</v>
      </c>
      <c r="C180" s="23" t="s">
        <v>152</v>
      </c>
      <c r="D180" s="25">
        <v>800</v>
      </c>
      <c r="E180" s="94">
        <f>1100-106.5</f>
        <v>993.5</v>
      </c>
    </row>
    <row r="181" spans="1:5" ht="120">
      <c r="A181" s="49" t="s">
        <v>599</v>
      </c>
      <c r="B181" s="23" t="s">
        <v>139</v>
      </c>
      <c r="C181" s="25" t="s">
        <v>600</v>
      </c>
      <c r="D181" s="25"/>
      <c r="E181" s="94">
        <f>E182</f>
        <v>78.900000000000006</v>
      </c>
    </row>
    <row r="182" spans="1:5">
      <c r="A182" s="37" t="s">
        <v>19</v>
      </c>
      <c r="B182" s="23" t="s">
        <v>139</v>
      </c>
      <c r="C182" s="25" t="s">
        <v>600</v>
      </c>
      <c r="D182" s="25">
        <v>800</v>
      </c>
      <c r="E182" s="94">
        <v>78.900000000000006</v>
      </c>
    </row>
    <row r="183" spans="1:5">
      <c r="A183" s="31" t="s">
        <v>153</v>
      </c>
      <c r="B183" s="32" t="s">
        <v>154</v>
      </c>
      <c r="C183" s="32"/>
      <c r="D183" s="34"/>
      <c r="E183" s="93">
        <f>SUM(E184)+E218</f>
        <v>696930.7</v>
      </c>
    </row>
    <row r="184" spans="1:5" ht="30">
      <c r="A184" s="22" t="s">
        <v>140</v>
      </c>
      <c r="B184" s="23" t="s">
        <v>154</v>
      </c>
      <c r="C184" s="23" t="s">
        <v>141</v>
      </c>
      <c r="D184" s="25"/>
      <c r="E184" s="94">
        <f>SUM(E185)</f>
        <v>661020</v>
      </c>
    </row>
    <row r="185" spans="1:5" ht="30">
      <c r="A185" s="22" t="s">
        <v>155</v>
      </c>
      <c r="B185" s="23" t="s">
        <v>154</v>
      </c>
      <c r="C185" s="23" t="s">
        <v>156</v>
      </c>
      <c r="D185" s="25"/>
      <c r="E185" s="94">
        <f>SUM(E186)</f>
        <v>661020</v>
      </c>
    </row>
    <row r="186" spans="1:5" ht="30">
      <c r="A186" s="26" t="s">
        <v>157</v>
      </c>
      <c r="B186" s="23" t="s">
        <v>154</v>
      </c>
      <c r="C186" s="23" t="s">
        <v>158</v>
      </c>
      <c r="D186" s="25"/>
      <c r="E186" s="94">
        <f>SUM(E205+E209+E211)+E187+E189+E191+E195+E197+E199+E207+E215+E193+E203+E201+E213</f>
        <v>661020</v>
      </c>
    </row>
    <row r="187" spans="1:5" ht="45">
      <c r="A187" s="26" t="s">
        <v>546</v>
      </c>
      <c r="B187" s="23" t="s">
        <v>154</v>
      </c>
      <c r="C187" s="23" t="s">
        <v>159</v>
      </c>
      <c r="D187" s="25"/>
      <c r="E187" s="94">
        <f>SUM(E188)</f>
        <v>3502.0000000000009</v>
      </c>
    </row>
    <row r="188" spans="1:5" ht="30">
      <c r="A188" s="26" t="s">
        <v>137</v>
      </c>
      <c r="B188" s="23" t="s">
        <v>154</v>
      </c>
      <c r="C188" s="23" t="s">
        <v>159</v>
      </c>
      <c r="D188" s="25">
        <v>400</v>
      </c>
      <c r="E188" s="94">
        <f>3000+3445.1+0.1-2943.1-0.1</f>
        <v>3502.0000000000009</v>
      </c>
    </row>
    <row r="189" spans="1:5" ht="60">
      <c r="A189" s="26" t="s">
        <v>160</v>
      </c>
      <c r="B189" s="23" t="s">
        <v>154</v>
      </c>
      <c r="C189" s="23" t="s">
        <v>161</v>
      </c>
      <c r="D189" s="25"/>
      <c r="E189" s="94">
        <f>SUM(E190)</f>
        <v>3876.2000000000003</v>
      </c>
    </row>
    <row r="190" spans="1:5" ht="30">
      <c r="A190" s="26" t="s">
        <v>137</v>
      </c>
      <c r="B190" s="23" t="s">
        <v>154</v>
      </c>
      <c r="C190" s="23" t="s">
        <v>161</v>
      </c>
      <c r="D190" s="25">
        <v>400</v>
      </c>
      <c r="E190" s="94">
        <f>2174.8+1314.1+387.3</f>
        <v>3876.2000000000003</v>
      </c>
    </row>
    <row r="191" spans="1:5" ht="30">
      <c r="A191" s="26" t="s">
        <v>162</v>
      </c>
      <c r="B191" s="23" t="s">
        <v>154</v>
      </c>
      <c r="C191" s="23" t="s">
        <v>163</v>
      </c>
      <c r="D191" s="25"/>
      <c r="E191" s="94">
        <f>SUM(E192)</f>
        <v>15398.3</v>
      </c>
    </row>
    <row r="192" spans="1:5" ht="30">
      <c r="A192" s="11" t="s">
        <v>54</v>
      </c>
      <c r="B192" s="23" t="s">
        <v>154</v>
      </c>
      <c r="C192" s="23" t="s">
        <v>163</v>
      </c>
      <c r="D192" s="25">
        <v>200</v>
      </c>
      <c r="E192" s="94">
        <f>3000+1401.7-768.4+24265-1847.7-10652.3</f>
        <v>15398.3</v>
      </c>
    </row>
    <row r="193" spans="1:5" ht="30">
      <c r="A193" s="15" t="s">
        <v>548</v>
      </c>
      <c r="B193" s="23" t="s">
        <v>154</v>
      </c>
      <c r="C193" s="23" t="s">
        <v>518</v>
      </c>
      <c r="D193" s="25"/>
      <c r="E193" s="94">
        <f>E194</f>
        <v>12370</v>
      </c>
    </row>
    <row r="194" spans="1:5" ht="30">
      <c r="A194" s="15" t="s">
        <v>54</v>
      </c>
      <c r="B194" s="23" t="s">
        <v>154</v>
      </c>
      <c r="C194" s="23" t="s">
        <v>518</v>
      </c>
      <c r="D194" s="25">
        <v>200</v>
      </c>
      <c r="E194" s="94">
        <f>8834+1056.1+2479.9</f>
        <v>12370</v>
      </c>
    </row>
    <row r="195" spans="1:5" ht="30" hidden="1">
      <c r="A195" s="26" t="s">
        <v>164</v>
      </c>
      <c r="B195" s="23" t="s">
        <v>154</v>
      </c>
      <c r="C195" s="23" t="s">
        <v>165</v>
      </c>
      <c r="D195" s="25"/>
      <c r="E195" s="94">
        <f>SUM(E196)</f>
        <v>0</v>
      </c>
    </row>
    <row r="196" spans="1:5" ht="30" hidden="1">
      <c r="A196" s="11" t="s">
        <v>54</v>
      </c>
      <c r="B196" s="23" t="s">
        <v>154</v>
      </c>
      <c r="C196" s="23" t="s">
        <v>165</v>
      </c>
      <c r="D196" s="25">
        <v>200</v>
      </c>
      <c r="E196" s="94">
        <f>15000-500-14500</f>
        <v>0</v>
      </c>
    </row>
    <row r="197" spans="1:5" ht="45">
      <c r="A197" s="26" t="s">
        <v>166</v>
      </c>
      <c r="B197" s="23" t="s">
        <v>154</v>
      </c>
      <c r="C197" s="23" t="s">
        <v>167</v>
      </c>
      <c r="D197" s="25"/>
      <c r="E197" s="94">
        <f>SUM(E198)</f>
        <v>2500</v>
      </c>
    </row>
    <row r="198" spans="1:5" ht="30">
      <c r="A198" s="26" t="s">
        <v>137</v>
      </c>
      <c r="B198" s="23" t="s">
        <v>154</v>
      </c>
      <c r="C198" s="23" t="s">
        <v>167</v>
      </c>
      <c r="D198" s="25">
        <v>400</v>
      </c>
      <c r="E198" s="94">
        <v>2500</v>
      </c>
    </row>
    <row r="199" spans="1:5" ht="90">
      <c r="A199" s="26" t="s">
        <v>545</v>
      </c>
      <c r="B199" s="23" t="s">
        <v>154</v>
      </c>
      <c r="C199" s="23" t="s">
        <v>168</v>
      </c>
      <c r="D199" s="25"/>
      <c r="E199" s="94">
        <f>SUM(E200)</f>
        <v>3307.9</v>
      </c>
    </row>
    <row r="200" spans="1:5" ht="30">
      <c r="A200" s="26" t="s">
        <v>137</v>
      </c>
      <c r="B200" s="23" t="s">
        <v>154</v>
      </c>
      <c r="C200" s="23" t="s">
        <v>168</v>
      </c>
      <c r="D200" s="25">
        <v>400</v>
      </c>
      <c r="E200" s="94">
        <f>1625-164.8+1847.7</f>
        <v>3307.9</v>
      </c>
    </row>
    <row r="201" spans="1:5" ht="30">
      <c r="A201" s="37" t="s">
        <v>606</v>
      </c>
      <c r="B201" s="23" t="s">
        <v>154</v>
      </c>
      <c r="C201" s="23" t="s">
        <v>607</v>
      </c>
      <c r="D201" s="25"/>
      <c r="E201" s="94">
        <f>E202</f>
        <v>3484.4</v>
      </c>
    </row>
    <row r="202" spans="1:5" ht="30">
      <c r="A202" s="15" t="s">
        <v>54</v>
      </c>
      <c r="B202" s="23" t="s">
        <v>154</v>
      </c>
      <c r="C202" s="23" t="s">
        <v>607</v>
      </c>
      <c r="D202" s="25">
        <v>200</v>
      </c>
      <c r="E202" s="94">
        <v>3484.4</v>
      </c>
    </row>
    <row r="203" spans="1:5" ht="120">
      <c r="A203" s="49" t="s">
        <v>593</v>
      </c>
      <c r="B203" s="23" t="s">
        <v>154</v>
      </c>
      <c r="C203" s="25" t="s">
        <v>592</v>
      </c>
      <c r="D203" s="25"/>
      <c r="E203" s="94">
        <f>E204</f>
        <v>140</v>
      </c>
    </row>
    <row r="204" spans="1:5" ht="30">
      <c r="A204" s="15" t="s">
        <v>54</v>
      </c>
      <c r="B204" s="23" t="s">
        <v>154</v>
      </c>
      <c r="C204" s="25" t="s">
        <v>592</v>
      </c>
      <c r="D204" s="25">
        <v>200</v>
      </c>
      <c r="E204" s="94">
        <v>140</v>
      </c>
    </row>
    <row r="205" spans="1:5" ht="30">
      <c r="A205" s="40" t="s">
        <v>169</v>
      </c>
      <c r="B205" s="23" t="s">
        <v>154</v>
      </c>
      <c r="C205" s="23" t="s">
        <v>170</v>
      </c>
      <c r="D205" s="25"/>
      <c r="E205" s="94">
        <f>SUM(E206)</f>
        <v>227495.3</v>
      </c>
    </row>
    <row r="206" spans="1:5">
      <c r="A206" s="26" t="s">
        <v>19</v>
      </c>
      <c r="B206" s="23" t="s">
        <v>154</v>
      </c>
      <c r="C206" s="23" t="s">
        <v>170</v>
      </c>
      <c r="D206" s="25">
        <v>800</v>
      </c>
      <c r="E206" s="94">
        <f>247146.3+15000+5000+1810-7500-27461-6500</f>
        <v>227495.3</v>
      </c>
    </row>
    <row r="207" spans="1:5">
      <c r="A207" s="22" t="s">
        <v>171</v>
      </c>
      <c r="B207" s="23" t="s">
        <v>154</v>
      </c>
      <c r="C207" s="23" t="s">
        <v>172</v>
      </c>
      <c r="D207" s="25"/>
      <c r="E207" s="94">
        <f>SUM(E208)</f>
        <v>13490.1</v>
      </c>
    </row>
    <row r="208" spans="1:5" ht="30">
      <c r="A208" s="11" t="s">
        <v>54</v>
      </c>
      <c r="B208" s="23" t="s">
        <v>154</v>
      </c>
      <c r="C208" s="23" t="s">
        <v>172</v>
      </c>
      <c r="D208" s="25">
        <v>200</v>
      </c>
      <c r="E208" s="94">
        <f>14062.1-4621.2+80.8+768.4+0.1-0.1+3200</f>
        <v>13490.1</v>
      </c>
    </row>
    <row r="209" spans="1:5" ht="60">
      <c r="A209" s="22" t="s">
        <v>173</v>
      </c>
      <c r="B209" s="23" t="s">
        <v>154</v>
      </c>
      <c r="C209" s="23" t="s">
        <v>174</v>
      </c>
      <c r="D209" s="25"/>
      <c r="E209" s="94">
        <f>SUM(E210)</f>
        <v>3951.3</v>
      </c>
    </row>
    <row r="210" spans="1:5">
      <c r="A210" s="26" t="s">
        <v>19</v>
      </c>
      <c r="B210" s="23" t="s">
        <v>154</v>
      </c>
      <c r="C210" s="23" t="s">
        <v>174</v>
      </c>
      <c r="D210" s="25">
        <v>800</v>
      </c>
      <c r="E210" s="94">
        <f>2000+429.9+721.4+800</f>
        <v>3951.3</v>
      </c>
    </row>
    <row r="211" spans="1:5" ht="45">
      <c r="A211" s="22" t="s">
        <v>175</v>
      </c>
      <c r="B211" s="23" t="s">
        <v>154</v>
      </c>
      <c r="C211" s="23" t="s">
        <v>176</v>
      </c>
      <c r="D211" s="25"/>
      <c r="E211" s="94">
        <f>SUM(E212)</f>
        <v>50844.5</v>
      </c>
    </row>
    <row r="212" spans="1:5" ht="22.5" customHeight="1">
      <c r="A212" s="26" t="s">
        <v>19</v>
      </c>
      <c r="B212" s="23" t="s">
        <v>154</v>
      </c>
      <c r="C212" s="23" t="s">
        <v>176</v>
      </c>
      <c r="D212" s="25">
        <v>800</v>
      </c>
      <c r="E212" s="94">
        <f>36337.4+416+762.9+10000+2500+828.2</f>
        <v>50844.5</v>
      </c>
    </row>
    <row r="213" spans="1:5" ht="34.5" customHeight="1">
      <c r="A213" s="15" t="s">
        <v>609</v>
      </c>
      <c r="B213" s="23" t="s">
        <v>154</v>
      </c>
      <c r="C213" s="23" t="s">
        <v>608</v>
      </c>
      <c r="D213" s="25"/>
      <c r="E213" s="94">
        <f>E214</f>
        <v>60</v>
      </c>
    </row>
    <row r="214" spans="1:5" ht="36" customHeight="1">
      <c r="A214" s="15" t="s">
        <v>54</v>
      </c>
      <c r="B214" s="23" t="s">
        <v>154</v>
      </c>
      <c r="C214" s="23" t="s">
        <v>608</v>
      </c>
      <c r="D214" s="25">
        <v>200</v>
      </c>
      <c r="E214" s="94">
        <v>60</v>
      </c>
    </row>
    <row r="215" spans="1:5" ht="151.5" customHeight="1">
      <c r="A215" s="49" t="s">
        <v>514</v>
      </c>
      <c r="B215" s="23" t="s">
        <v>154</v>
      </c>
      <c r="C215" s="23" t="s">
        <v>515</v>
      </c>
      <c r="D215" s="25"/>
      <c r="E215" s="94">
        <f>E216+E217</f>
        <v>320600</v>
      </c>
    </row>
    <row r="216" spans="1:5" ht="30">
      <c r="A216" s="15" t="s">
        <v>54</v>
      </c>
      <c r="B216" s="23" t="s">
        <v>154</v>
      </c>
      <c r="C216" s="23" t="s">
        <v>515</v>
      </c>
      <c r="D216" s="25">
        <v>200</v>
      </c>
      <c r="E216" s="94">
        <f>180913+58442.6</f>
        <v>239355.6</v>
      </c>
    </row>
    <row r="217" spans="1:5" ht="30">
      <c r="A217" s="37" t="s">
        <v>137</v>
      </c>
      <c r="B217" s="23" t="s">
        <v>154</v>
      </c>
      <c r="C217" s="23" t="s">
        <v>515</v>
      </c>
      <c r="D217" s="25">
        <v>400</v>
      </c>
      <c r="E217" s="94">
        <f>119087-43842.6+6000</f>
        <v>81244.399999999994</v>
      </c>
    </row>
    <row r="218" spans="1:5" ht="60">
      <c r="A218" s="26" t="s">
        <v>39</v>
      </c>
      <c r="B218" s="23" t="s">
        <v>154</v>
      </c>
      <c r="C218" s="23" t="s">
        <v>76</v>
      </c>
      <c r="D218" s="25"/>
      <c r="E218" s="94">
        <f>SUM(E219)</f>
        <v>35910.700000000004</v>
      </c>
    </row>
    <row r="219" spans="1:5">
      <c r="A219" s="26" t="s">
        <v>177</v>
      </c>
      <c r="B219" s="23" t="s">
        <v>154</v>
      </c>
      <c r="C219" s="23" t="s">
        <v>178</v>
      </c>
      <c r="D219" s="25"/>
      <c r="E219" s="94">
        <f>SUM(E220)</f>
        <v>35910.700000000004</v>
      </c>
    </row>
    <row r="220" spans="1:5" ht="30">
      <c r="A220" s="22" t="s">
        <v>179</v>
      </c>
      <c r="B220" s="23" t="s">
        <v>154</v>
      </c>
      <c r="C220" s="23" t="s">
        <v>180</v>
      </c>
      <c r="D220" s="25"/>
      <c r="E220" s="94">
        <f>SUM(E221)</f>
        <v>35910.700000000004</v>
      </c>
    </row>
    <row r="221" spans="1:5" ht="65.45" customHeight="1">
      <c r="A221" s="37" t="s">
        <v>575</v>
      </c>
      <c r="B221" s="23" t="s">
        <v>154</v>
      </c>
      <c r="C221" s="23" t="s">
        <v>181</v>
      </c>
      <c r="D221" s="25"/>
      <c r="E221" s="94">
        <f>SUM(E222)</f>
        <v>35910.700000000004</v>
      </c>
    </row>
    <row r="222" spans="1:5" ht="30">
      <c r="A222" s="11" t="s">
        <v>54</v>
      </c>
      <c r="B222" s="23" t="s">
        <v>154</v>
      </c>
      <c r="C222" s="23" t="s">
        <v>181</v>
      </c>
      <c r="D222" s="25">
        <v>200</v>
      </c>
      <c r="E222" s="94">
        <f>28500-28500+28500+7000+1671.3-1260.6</f>
        <v>35910.700000000004</v>
      </c>
    </row>
    <row r="223" spans="1:5">
      <c r="A223" s="31" t="s">
        <v>182</v>
      </c>
      <c r="B223" s="32" t="s">
        <v>183</v>
      </c>
      <c r="C223" s="32"/>
      <c r="D223" s="34"/>
      <c r="E223" s="93">
        <f>SUM(E224+E257)</f>
        <v>260487.8</v>
      </c>
    </row>
    <row r="224" spans="1:5" ht="30">
      <c r="A224" s="22" t="s">
        <v>193</v>
      </c>
      <c r="B224" s="23" t="s">
        <v>183</v>
      </c>
      <c r="C224" s="23" t="s">
        <v>194</v>
      </c>
      <c r="D224" s="25"/>
      <c r="E224" s="94">
        <f>SUM(E225+E235)</f>
        <v>251905</v>
      </c>
    </row>
    <row r="225" spans="1:6">
      <c r="A225" s="22" t="s">
        <v>195</v>
      </c>
      <c r="B225" s="23" t="s">
        <v>183</v>
      </c>
      <c r="C225" s="23" t="s">
        <v>196</v>
      </c>
      <c r="D225" s="25"/>
      <c r="E225" s="94">
        <f>SUM(E226)</f>
        <v>208896.5</v>
      </c>
    </row>
    <row r="226" spans="1:6" ht="30">
      <c r="A226" s="22" t="s">
        <v>197</v>
      </c>
      <c r="B226" s="23" t="s">
        <v>183</v>
      </c>
      <c r="C226" s="23" t="s">
        <v>198</v>
      </c>
      <c r="D226" s="25"/>
      <c r="E226" s="94">
        <f>SUM(E227+E229)+E233+E231</f>
        <v>208896.5</v>
      </c>
    </row>
    <row r="227" spans="1:6" ht="45">
      <c r="A227" s="22" t="s">
        <v>199</v>
      </c>
      <c r="B227" s="23" t="s">
        <v>183</v>
      </c>
      <c r="C227" s="23" t="s">
        <v>200</v>
      </c>
      <c r="D227" s="25"/>
      <c r="E227" s="94">
        <f>SUM(E228)</f>
        <v>552.09999999999991</v>
      </c>
    </row>
    <row r="228" spans="1:6" ht="30">
      <c r="A228" s="26" t="s">
        <v>137</v>
      </c>
      <c r="B228" s="23" t="s">
        <v>183</v>
      </c>
      <c r="C228" s="23" t="s">
        <v>200</v>
      </c>
      <c r="D228" s="25">
        <v>400</v>
      </c>
      <c r="E228" s="94">
        <f>522.3+29.8</f>
        <v>552.09999999999991</v>
      </c>
    </row>
    <row r="229" spans="1:6" ht="45">
      <c r="A229" s="26" t="s">
        <v>201</v>
      </c>
      <c r="B229" s="23" t="s">
        <v>183</v>
      </c>
      <c r="C229" s="23" t="s">
        <v>202</v>
      </c>
      <c r="D229" s="25"/>
      <c r="E229" s="94">
        <f>SUM(E230)</f>
        <v>0</v>
      </c>
    </row>
    <row r="230" spans="1:6" ht="30">
      <c r="A230" s="26" t="s">
        <v>137</v>
      </c>
      <c r="B230" s="23" t="s">
        <v>183</v>
      </c>
      <c r="C230" s="23" t="s">
        <v>202</v>
      </c>
      <c r="D230" s="25">
        <v>400</v>
      </c>
      <c r="E230" s="94">
        <f>5161-5161+5161-5161</f>
        <v>0</v>
      </c>
      <c r="F230" s="87"/>
    </row>
    <row r="231" spans="1:6" ht="120">
      <c r="A231" s="49" t="s">
        <v>568</v>
      </c>
      <c r="B231" s="23" t="s">
        <v>183</v>
      </c>
      <c r="C231" s="23" t="s">
        <v>573</v>
      </c>
      <c r="D231" s="25"/>
      <c r="E231" s="94">
        <f>E232</f>
        <v>198420</v>
      </c>
    </row>
    <row r="232" spans="1:6" ht="37.5" customHeight="1">
      <c r="A232" s="37" t="s">
        <v>137</v>
      </c>
      <c r="B232" s="23" t="s">
        <v>183</v>
      </c>
      <c r="C232" s="23" t="s">
        <v>573</v>
      </c>
      <c r="D232" s="25">
        <v>400</v>
      </c>
      <c r="E232" s="94">
        <v>198420</v>
      </c>
    </row>
    <row r="233" spans="1:6" ht="128.25" customHeight="1">
      <c r="A233" s="86" t="s">
        <v>568</v>
      </c>
      <c r="B233" s="23" t="s">
        <v>183</v>
      </c>
      <c r="C233" s="23" t="s">
        <v>569</v>
      </c>
      <c r="D233" s="25"/>
      <c r="E233" s="94">
        <f>E234</f>
        <v>9924.4</v>
      </c>
    </row>
    <row r="234" spans="1:6" ht="36.75" customHeight="1">
      <c r="A234" s="26" t="s">
        <v>137</v>
      </c>
      <c r="B234" s="23" t="s">
        <v>183</v>
      </c>
      <c r="C234" s="23" t="s">
        <v>569</v>
      </c>
      <c r="D234" s="25">
        <v>400</v>
      </c>
      <c r="E234" s="94">
        <v>9924.4</v>
      </c>
    </row>
    <row r="235" spans="1:6" ht="30">
      <c r="A235" s="26" t="s">
        <v>203</v>
      </c>
      <c r="B235" s="23" t="s">
        <v>183</v>
      </c>
      <c r="C235" s="23" t="s">
        <v>204</v>
      </c>
      <c r="D235" s="25"/>
      <c r="E235" s="94">
        <f>SUM(E236+E249)</f>
        <v>43008.5</v>
      </c>
    </row>
    <row r="236" spans="1:6" ht="30">
      <c r="A236" s="26" t="s">
        <v>205</v>
      </c>
      <c r="B236" s="23" t="s">
        <v>183</v>
      </c>
      <c r="C236" s="23" t="s">
        <v>206</v>
      </c>
      <c r="D236" s="25"/>
      <c r="E236" s="94">
        <f>SUM(E237+E241+E243+E245+E247)+E239</f>
        <v>41032</v>
      </c>
    </row>
    <row r="237" spans="1:6" ht="45">
      <c r="A237" s="26" t="s">
        <v>207</v>
      </c>
      <c r="B237" s="23" t="s">
        <v>183</v>
      </c>
      <c r="C237" s="23" t="s">
        <v>208</v>
      </c>
      <c r="D237" s="25"/>
      <c r="E237" s="94">
        <f>SUM(E238)</f>
        <v>391.1</v>
      </c>
    </row>
    <row r="238" spans="1:6" ht="30">
      <c r="A238" s="11" t="s">
        <v>54</v>
      </c>
      <c r="B238" s="23" t="s">
        <v>183</v>
      </c>
      <c r="C238" s="23" t="s">
        <v>208</v>
      </c>
      <c r="D238" s="25">
        <v>200</v>
      </c>
      <c r="E238" s="94">
        <f>450-58.9</f>
        <v>391.1</v>
      </c>
    </row>
    <row r="239" spans="1:6" ht="150">
      <c r="A239" s="49" t="s">
        <v>594</v>
      </c>
      <c r="B239" s="23" t="s">
        <v>183</v>
      </c>
      <c r="C239" s="25" t="s">
        <v>595</v>
      </c>
      <c r="D239" s="25"/>
      <c r="E239" s="94">
        <f>E240</f>
        <v>37552</v>
      </c>
    </row>
    <row r="240" spans="1:6">
      <c r="A240" s="37" t="s">
        <v>19</v>
      </c>
      <c r="B240" s="23" t="s">
        <v>183</v>
      </c>
      <c r="C240" s="25" t="s">
        <v>595</v>
      </c>
      <c r="D240" s="25">
        <v>800</v>
      </c>
      <c r="E240" s="94">
        <v>37552</v>
      </c>
    </row>
    <row r="241" spans="1:5" ht="30">
      <c r="A241" s="26" t="s">
        <v>209</v>
      </c>
      <c r="B241" s="23" t="s">
        <v>183</v>
      </c>
      <c r="C241" s="23" t="s">
        <v>210</v>
      </c>
      <c r="D241" s="25"/>
      <c r="E241" s="94">
        <f>SUM(E242)</f>
        <v>150</v>
      </c>
    </row>
    <row r="242" spans="1:5">
      <c r="A242" s="26" t="s">
        <v>19</v>
      </c>
      <c r="B242" s="23" t="s">
        <v>183</v>
      </c>
      <c r="C242" s="23" t="s">
        <v>210</v>
      </c>
      <c r="D242" s="25">
        <v>800</v>
      </c>
      <c r="E242" s="94">
        <v>150</v>
      </c>
    </row>
    <row r="243" spans="1:5" ht="61.5" customHeight="1">
      <c r="A243" s="26" t="s">
        <v>570</v>
      </c>
      <c r="B243" s="23" t="s">
        <v>183</v>
      </c>
      <c r="C243" s="23" t="s">
        <v>211</v>
      </c>
      <c r="D243" s="25"/>
      <c r="E243" s="94">
        <f>SUM(E244)</f>
        <v>2738.9</v>
      </c>
    </row>
    <row r="244" spans="1:5">
      <c r="A244" s="26" t="s">
        <v>19</v>
      </c>
      <c r="B244" s="23" t="s">
        <v>183</v>
      </c>
      <c r="C244" s="23" t="s">
        <v>211</v>
      </c>
      <c r="D244" s="25">
        <v>800</v>
      </c>
      <c r="E244" s="94">
        <f>200+2538.9</f>
        <v>2738.9</v>
      </c>
    </row>
    <row r="245" spans="1:5" ht="105">
      <c r="A245" s="26" t="s">
        <v>571</v>
      </c>
      <c r="B245" s="23" t="s">
        <v>183</v>
      </c>
      <c r="C245" s="23" t="s">
        <v>212</v>
      </c>
      <c r="D245" s="25"/>
      <c r="E245" s="94">
        <f>SUM(E246)</f>
        <v>100</v>
      </c>
    </row>
    <row r="246" spans="1:5">
      <c r="A246" s="26" t="s">
        <v>19</v>
      </c>
      <c r="B246" s="23" t="s">
        <v>183</v>
      </c>
      <c r="C246" s="23" t="s">
        <v>212</v>
      </c>
      <c r="D246" s="25">
        <v>800</v>
      </c>
      <c r="E246" s="94">
        <v>100</v>
      </c>
    </row>
    <row r="247" spans="1:5" ht="90">
      <c r="A247" s="26" t="s">
        <v>572</v>
      </c>
      <c r="B247" s="23" t="s">
        <v>183</v>
      </c>
      <c r="C247" s="23" t="s">
        <v>213</v>
      </c>
      <c r="D247" s="25"/>
      <c r="E247" s="94">
        <f>SUM(E248)</f>
        <v>100</v>
      </c>
    </row>
    <row r="248" spans="1:5">
      <c r="A248" s="26" t="s">
        <v>19</v>
      </c>
      <c r="B248" s="23" t="s">
        <v>183</v>
      </c>
      <c r="C248" s="23" t="s">
        <v>213</v>
      </c>
      <c r="D248" s="25">
        <v>800</v>
      </c>
      <c r="E248" s="94">
        <v>100</v>
      </c>
    </row>
    <row r="249" spans="1:5" ht="30">
      <c r="A249" s="26" t="s">
        <v>214</v>
      </c>
      <c r="B249" s="23" t="s">
        <v>183</v>
      </c>
      <c r="C249" s="23" t="s">
        <v>215</v>
      </c>
      <c r="D249" s="25"/>
      <c r="E249" s="94">
        <f>SUM(E250+E252)</f>
        <v>1976.5</v>
      </c>
    </row>
    <row r="250" spans="1:5" ht="150">
      <c r="A250" s="49" t="s">
        <v>594</v>
      </c>
      <c r="B250" s="23" t="s">
        <v>183</v>
      </c>
      <c r="C250" s="25" t="s">
        <v>596</v>
      </c>
      <c r="D250" s="25"/>
      <c r="E250" s="94">
        <f>SUM(E251)</f>
        <v>1976.5</v>
      </c>
    </row>
    <row r="251" spans="1:5">
      <c r="A251" s="37" t="s">
        <v>19</v>
      </c>
      <c r="B251" s="23" t="s">
        <v>183</v>
      </c>
      <c r="C251" s="25" t="s">
        <v>596</v>
      </c>
      <c r="D251" s="25">
        <v>800</v>
      </c>
      <c r="E251" s="94">
        <v>1976.5</v>
      </c>
    </row>
    <row r="252" spans="1:5" hidden="1">
      <c r="A252" s="26" t="s">
        <v>216</v>
      </c>
      <c r="B252" s="23" t="s">
        <v>183</v>
      </c>
      <c r="C252" s="23" t="s">
        <v>217</v>
      </c>
      <c r="D252" s="25"/>
      <c r="E252" s="94">
        <f>SUM(E253)</f>
        <v>0</v>
      </c>
    </row>
    <row r="253" spans="1:5" ht="30" hidden="1">
      <c r="A253" s="26" t="s">
        <v>137</v>
      </c>
      <c r="B253" s="23" t="s">
        <v>183</v>
      </c>
      <c r="C253" s="23" t="s">
        <v>217</v>
      </c>
      <c r="D253" s="25">
        <v>400</v>
      </c>
      <c r="E253" s="94">
        <f>480-480</f>
        <v>0</v>
      </c>
    </row>
    <row r="254" spans="1:5" hidden="1">
      <c r="A254" s="86"/>
      <c r="B254" s="23"/>
      <c r="C254" s="23"/>
      <c r="D254" s="25"/>
      <c r="E254" s="94"/>
    </row>
    <row r="255" spans="1:5" hidden="1">
      <c r="A255" s="26"/>
      <c r="B255" s="23"/>
      <c r="C255" s="23"/>
      <c r="D255" s="25"/>
      <c r="E255" s="94"/>
    </row>
    <row r="256" spans="1:5" hidden="1">
      <c r="A256" s="26"/>
      <c r="B256" s="23"/>
      <c r="C256" s="23"/>
      <c r="D256" s="25"/>
      <c r="E256" s="94"/>
    </row>
    <row r="257" spans="1:5" ht="60">
      <c r="A257" s="22" t="s">
        <v>184</v>
      </c>
      <c r="B257" s="23" t="s">
        <v>183</v>
      </c>
      <c r="C257" s="23" t="s">
        <v>185</v>
      </c>
      <c r="D257" s="25"/>
      <c r="E257" s="94">
        <f>SUM(E258+E261)</f>
        <v>8582.7999999999993</v>
      </c>
    </row>
    <row r="258" spans="1:5" ht="30">
      <c r="A258" s="22" t="s">
        <v>505</v>
      </c>
      <c r="B258" s="23" t="s">
        <v>183</v>
      </c>
      <c r="C258" s="23" t="s">
        <v>186</v>
      </c>
      <c r="D258" s="25"/>
      <c r="E258" s="94">
        <f>SUM(E259)</f>
        <v>1353.5999999999997</v>
      </c>
    </row>
    <row r="259" spans="1:5" ht="45">
      <c r="A259" s="22" t="s">
        <v>187</v>
      </c>
      <c r="B259" s="23" t="s">
        <v>183</v>
      </c>
      <c r="C259" s="23" t="s">
        <v>188</v>
      </c>
      <c r="D259" s="25"/>
      <c r="E259" s="94">
        <f>SUM(E260)</f>
        <v>1353.5999999999997</v>
      </c>
    </row>
    <row r="260" spans="1:5" ht="30">
      <c r="A260" s="11" t="s">
        <v>54</v>
      </c>
      <c r="B260" s="23" t="s">
        <v>183</v>
      </c>
      <c r="C260" s="23" t="s">
        <v>188</v>
      </c>
      <c r="D260" s="25">
        <v>200</v>
      </c>
      <c r="E260" s="94">
        <f>3220-211.8-1654.7+0.1</f>
        <v>1353.5999999999997</v>
      </c>
    </row>
    <row r="261" spans="1:5" ht="30">
      <c r="A261" s="26" t="s">
        <v>189</v>
      </c>
      <c r="B261" s="23" t="s">
        <v>183</v>
      </c>
      <c r="C261" s="23" t="s">
        <v>190</v>
      </c>
      <c r="D261" s="25"/>
      <c r="E261" s="94">
        <f>SUM(E264)+E262</f>
        <v>7229.1999999999989</v>
      </c>
    </row>
    <row r="262" spans="1:5" ht="45">
      <c r="A262" s="37" t="s">
        <v>519</v>
      </c>
      <c r="B262" s="23" t="s">
        <v>183</v>
      </c>
      <c r="C262" s="23" t="s">
        <v>520</v>
      </c>
      <c r="D262" s="25"/>
      <c r="E262" s="94">
        <f>E263</f>
        <v>218.4</v>
      </c>
    </row>
    <row r="263" spans="1:5" ht="30">
      <c r="A263" s="15" t="s">
        <v>54</v>
      </c>
      <c r="B263" s="23" t="s">
        <v>183</v>
      </c>
      <c r="C263" s="23" t="s">
        <v>520</v>
      </c>
      <c r="D263" s="25">
        <v>200</v>
      </c>
      <c r="E263" s="94">
        <f>230-11.6</f>
        <v>218.4</v>
      </c>
    </row>
    <row r="264" spans="1:5" ht="60">
      <c r="A264" s="26" t="s">
        <v>191</v>
      </c>
      <c r="B264" s="23" t="s">
        <v>183</v>
      </c>
      <c r="C264" s="23" t="s">
        <v>192</v>
      </c>
      <c r="D264" s="25"/>
      <c r="E264" s="94">
        <f>SUM(E265)</f>
        <v>7010.7999999999993</v>
      </c>
    </row>
    <row r="265" spans="1:5" ht="30">
      <c r="A265" s="11" t="s">
        <v>54</v>
      </c>
      <c r="B265" s="23" t="s">
        <v>183</v>
      </c>
      <c r="C265" s="23" t="s">
        <v>192</v>
      </c>
      <c r="D265" s="25">
        <v>200</v>
      </c>
      <c r="E265" s="94">
        <f>8325-1314.1-0.1</f>
        <v>7010.7999999999993</v>
      </c>
    </row>
    <row r="266" spans="1:5">
      <c r="A266" s="31" t="s">
        <v>218</v>
      </c>
      <c r="B266" s="32" t="s">
        <v>219</v>
      </c>
      <c r="C266" s="32"/>
      <c r="D266" s="34"/>
      <c r="E266" s="93">
        <f>E267+E309+E349+E370</f>
        <v>1502423.4999999998</v>
      </c>
    </row>
    <row r="267" spans="1:5">
      <c r="A267" s="31" t="s">
        <v>220</v>
      </c>
      <c r="B267" s="32" t="s">
        <v>221</v>
      </c>
      <c r="C267" s="32"/>
      <c r="D267" s="34"/>
      <c r="E267" s="93">
        <f>SUM(E288)+E304+E268+E276</f>
        <v>1104892.7999999998</v>
      </c>
    </row>
    <row r="268" spans="1:5">
      <c r="A268" s="22" t="s">
        <v>9</v>
      </c>
      <c r="B268" s="23" t="s">
        <v>221</v>
      </c>
      <c r="C268" s="23" t="s">
        <v>47</v>
      </c>
      <c r="D268" s="25"/>
      <c r="E268" s="94">
        <f>SUM(E271)+E273+E269</f>
        <v>8758.2000000000007</v>
      </c>
    </row>
    <row r="269" spans="1:5">
      <c r="A269" s="15" t="s">
        <v>24</v>
      </c>
      <c r="B269" s="12" t="s">
        <v>221</v>
      </c>
      <c r="C269" s="13" t="s">
        <v>64</v>
      </c>
      <c r="D269" s="25"/>
      <c r="E269" s="94">
        <f>E270</f>
        <v>508.2</v>
      </c>
    </row>
    <row r="270" spans="1:5" ht="30">
      <c r="A270" s="15" t="s">
        <v>54</v>
      </c>
      <c r="B270" s="12" t="s">
        <v>221</v>
      </c>
      <c r="C270" s="13" t="s">
        <v>64</v>
      </c>
      <c r="D270" s="25">
        <v>200</v>
      </c>
      <c r="E270" s="94">
        <v>508.2</v>
      </c>
    </row>
    <row r="271" spans="1:5" ht="30">
      <c r="A271" s="22" t="s">
        <v>222</v>
      </c>
      <c r="B271" s="23" t="s">
        <v>221</v>
      </c>
      <c r="C271" s="23" t="s">
        <v>223</v>
      </c>
      <c r="D271" s="25"/>
      <c r="E271" s="94">
        <f>SUM(E272)</f>
        <v>8250</v>
      </c>
    </row>
    <row r="272" spans="1:5" ht="48.75" customHeight="1">
      <c r="A272" s="26" t="s">
        <v>137</v>
      </c>
      <c r="B272" s="23" t="s">
        <v>221</v>
      </c>
      <c r="C272" s="23" t="s">
        <v>223</v>
      </c>
      <c r="D272" s="25">
        <v>400</v>
      </c>
      <c r="E272" s="94">
        <f>5000-813+5813-1750</f>
        <v>8250</v>
      </c>
    </row>
    <row r="273" spans="1:5" ht="48.75" hidden="1" customHeight="1">
      <c r="A273" s="15" t="s">
        <v>547</v>
      </c>
      <c r="B273" s="23" t="s">
        <v>221</v>
      </c>
      <c r="C273" s="23" t="s">
        <v>540</v>
      </c>
      <c r="D273" s="25"/>
      <c r="E273" s="94">
        <f>E274</f>
        <v>0</v>
      </c>
    </row>
    <row r="274" spans="1:5" ht="142.5" hidden="1" customHeight="1">
      <c r="A274" s="37" t="s">
        <v>539</v>
      </c>
      <c r="B274" s="23" t="s">
        <v>221</v>
      </c>
      <c r="C274" s="23" t="s">
        <v>541</v>
      </c>
      <c r="D274" s="25"/>
      <c r="E274" s="94">
        <f>E275</f>
        <v>0</v>
      </c>
    </row>
    <row r="275" spans="1:5" ht="31.5" hidden="1" customHeight="1">
      <c r="A275" s="37" t="s">
        <v>137</v>
      </c>
      <c r="B275" s="23" t="s">
        <v>221</v>
      </c>
      <c r="C275" s="23" t="s">
        <v>541</v>
      </c>
      <c r="D275" s="25">
        <v>400</v>
      </c>
      <c r="E275" s="94">
        <f>701011.8+199340.4-900352.2</f>
        <v>0</v>
      </c>
    </row>
    <row r="276" spans="1:5" ht="30">
      <c r="A276" s="40" t="s">
        <v>587</v>
      </c>
      <c r="B276" s="23" t="s">
        <v>221</v>
      </c>
      <c r="C276" s="23" t="s">
        <v>70</v>
      </c>
      <c r="D276" s="25"/>
      <c r="E276" s="94">
        <f>SUM(E284)+E277</f>
        <v>1061309.2999999998</v>
      </c>
    </row>
    <row r="277" spans="1:5" ht="30">
      <c r="A277" s="40" t="s">
        <v>582</v>
      </c>
      <c r="B277" s="23" t="s">
        <v>221</v>
      </c>
      <c r="C277" s="23" t="s">
        <v>583</v>
      </c>
      <c r="D277" s="25"/>
      <c r="E277" s="94">
        <f>E280+E282+E278</f>
        <v>1059505.2999999998</v>
      </c>
    </row>
    <row r="278" spans="1:5" ht="135">
      <c r="A278" s="37" t="s">
        <v>589</v>
      </c>
      <c r="B278" s="23" t="s">
        <v>221</v>
      </c>
      <c r="C278" s="23" t="s">
        <v>586</v>
      </c>
      <c r="D278" s="25"/>
      <c r="E278" s="94">
        <f>E279</f>
        <v>1046317.7999999999</v>
      </c>
    </row>
    <row r="279" spans="1:5" ht="30">
      <c r="A279" s="37" t="s">
        <v>137</v>
      </c>
      <c r="B279" s="23" t="s">
        <v>221</v>
      </c>
      <c r="C279" s="23" t="s">
        <v>586</v>
      </c>
      <c r="D279" s="25">
        <v>400</v>
      </c>
      <c r="E279" s="94">
        <f>900352.2+145965.6</f>
        <v>1046317.7999999999</v>
      </c>
    </row>
    <row r="280" spans="1:5">
      <c r="A280" s="40" t="s">
        <v>247</v>
      </c>
      <c r="B280" s="23" t="s">
        <v>221</v>
      </c>
      <c r="C280" s="23" t="s">
        <v>584</v>
      </c>
      <c r="D280" s="25"/>
      <c r="E280" s="94">
        <f>E281</f>
        <v>468.5</v>
      </c>
    </row>
    <row r="281" spans="1:5" ht="30">
      <c r="A281" s="15" t="s">
        <v>54</v>
      </c>
      <c r="B281" s="23" t="s">
        <v>221</v>
      </c>
      <c r="C281" s="23" t="s">
        <v>584</v>
      </c>
      <c r="D281" s="25">
        <v>200</v>
      </c>
      <c r="E281" s="94">
        <f>500-31.5</f>
        <v>468.5</v>
      </c>
    </row>
    <row r="282" spans="1:5" ht="30">
      <c r="A282" s="37" t="s">
        <v>500</v>
      </c>
      <c r="B282" s="23" t="s">
        <v>221</v>
      </c>
      <c r="C282" s="23" t="s">
        <v>585</v>
      </c>
      <c r="D282" s="25"/>
      <c r="E282" s="94">
        <f>E283</f>
        <v>12719</v>
      </c>
    </row>
    <row r="283" spans="1:5" ht="30">
      <c r="A283" s="37" t="s">
        <v>137</v>
      </c>
      <c r="B283" s="23" t="s">
        <v>221</v>
      </c>
      <c r="C283" s="23" t="s">
        <v>585</v>
      </c>
      <c r="D283" s="25">
        <v>400</v>
      </c>
      <c r="E283" s="94">
        <v>12719</v>
      </c>
    </row>
    <row r="284" spans="1:5" ht="45">
      <c r="A284" s="40" t="s">
        <v>588</v>
      </c>
      <c r="B284" s="23" t="s">
        <v>221</v>
      </c>
      <c r="C284" s="23" t="s">
        <v>71</v>
      </c>
      <c r="D284" s="25"/>
      <c r="E284" s="94">
        <f>SUM(E285)</f>
        <v>1804</v>
      </c>
    </row>
    <row r="285" spans="1:5" ht="45">
      <c r="A285" s="22" t="s">
        <v>72</v>
      </c>
      <c r="B285" s="23" t="s">
        <v>221</v>
      </c>
      <c r="C285" s="23" t="s">
        <v>73</v>
      </c>
      <c r="D285" s="25"/>
      <c r="E285" s="94">
        <f>SUM(E286)</f>
        <v>1804</v>
      </c>
    </row>
    <row r="286" spans="1:5">
      <c r="A286" s="22" t="s">
        <v>565</v>
      </c>
      <c r="B286" s="23" t="s">
        <v>221</v>
      </c>
      <c r="C286" s="23" t="s">
        <v>224</v>
      </c>
      <c r="D286" s="25"/>
      <c r="E286" s="94">
        <f>SUM(E287)</f>
        <v>1804</v>
      </c>
    </row>
    <row r="287" spans="1:5" ht="30">
      <c r="A287" s="26" t="s">
        <v>18</v>
      </c>
      <c r="B287" s="23" t="s">
        <v>221</v>
      </c>
      <c r="C287" s="23" t="s">
        <v>224</v>
      </c>
      <c r="D287" s="25">
        <v>200</v>
      </c>
      <c r="E287" s="94">
        <f>526.3+1176.2+461-20-339.5</f>
        <v>1804</v>
      </c>
    </row>
    <row r="288" spans="1:5" ht="60">
      <c r="A288" s="22" t="s">
        <v>39</v>
      </c>
      <c r="B288" s="23" t="s">
        <v>221</v>
      </c>
      <c r="C288" s="23" t="s">
        <v>76</v>
      </c>
      <c r="D288" s="25"/>
      <c r="E288" s="94">
        <f>E289+E298</f>
        <v>34825.300000000003</v>
      </c>
    </row>
    <row r="289" spans="1:5" ht="45">
      <c r="A289" s="22" t="s">
        <v>225</v>
      </c>
      <c r="B289" s="23" t="s">
        <v>221</v>
      </c>
      <c r="C289" s="23" t="s">
        <v>226</v>
      </c>
      <c r="D289" s="25"/>
      <c r="E289" s="94">
        <f>E290+E293</f>
        <v>19403.399999999998</v>
      </c>
    </row>
    <row r="290" spans="1:5" ht="30">
      <c r="A290" s="36" t="s">
        <v>227</v>
      </c>
      <c r="B290" s="23" t="s">
        <v>221</v>
      </c>
      <c r="C290" s="23" t="s">
        <v>228</v>
      </c>
      <c r="D290" s="25"/>
      <c r="E290" s="94">
        <f>SUM(E291)</f>
        <v>16953.399999999998</v>
      </c>
    </row>
    <row r="291" spans="1:5" ht="45">
      <c r="A291" s="22" t="s">
        <v>229</v>
      </c>
      <c r="B291" s="23" t="s">
        <v>221</v>
      </c>
      <c r="C291" s="23" t="s">
        <v>230</v>
      </c>
      <c r="D291" s="25"/>
      <c r="E291" s="94">
        <f>SUM(E292)</f>
        <v>16953.399999999998</v>
      </c>
    </row>
    <row r="292" spans="1:5">
      <c r="A292" s="26" t="s">
        <v>19</v>
      </c>
      <c r="B292" s="23" t="s">
        <v>221</v>
      </c>
      <c r="C292" s="23" t="s">
        <v>230</v>
      </c>
      <c r="D292" s="25">
        <v>800</v>
      </c>
      <c r="E292" s="94">
        <f>19787.8-951-38.9-1844.5</f>
        <v>16953.399999999998</v>
      </c>
    </row>
    <row r="293" spans="1:5" ht="45">
      <c r="A293" s="22" t="s">
        <v>231</v>
      </c>
      <c r="B293" s="23" t="s">
        <v>221</v>
      </c>
      <c r="C293" s="23" t="s">
        <v>232</v>
      </c>
      <c r="D293" s="25"/>
      <c r="E293" s="94">
        <f>E294+E296</f>
        <v>2450</v>
      </c>
    </row>
    <row r="294" spans="1:5" ht="45">
      <c r="A294" s="26" t="s">
        <v>233</v>
      </c>
      <c r="B294" s="23" t="s">
        <v>221</v>
      </c>
      <c r="C294" s="23" t="s">
        <v>234</v>
      </c>
      <c r="D294" s="25"/>
      <c r="E294" s="94">
        <f>SUM(E295)</f>
        <v>450</v>
      </c>
    </row>
    <row r="295" spans="1:5" ht="30">
      <c r="A295" s="11" t="s">
        <v>54</v>
      </c>
      <c r="B295" s="23" t="s">
        <v>221</v>
      </c>
      <c r="C295" s="23" t="s">
        <v>234</v>
      </c>
      <c r="D295" s="25">
        <v>200</v>
      </c>
      <c r="E295" s="94">
        <v>450</v>
      </c>
    </row>
    <row r="296" spans="1:5" ht="30">
      <c r="A296" s="26" t="s">
        <v>235</v>
      </c>
      <c r="B296" s="23" t="s">
        <v>221</v>
      </c>
      <c r="C296" s="23" t="s">
        <v>236</v>
      </c>
      <c r="D296" s="25"/>
      <c r="E296" s="94">
        <f>SUM(E297)</f>
        <v>2000</v>
      </c>
    </row>
    <row r="297" spans="1:5" ht="30">
      <c r="A297" s="26" t="s">
        <v>18</v>
      </c>
      <c r="B297" s="23" t="s">
        <v>221</v>
      </c>
      <c r="C297" s="23" t="s">
        <v>236</v>
      </c>
      <c r="D297" s="25">
        <v>200</v>
      </c>
      <c r="E297" s="94">
        <v>2000</v>
      </c>
    </row>
    <row r="298" spans="1:5" ht="30">
      <c r="A298" s="26" t="s">
        <v>237</v>
      </c>
      <c r="B298" s="23" t="s">
        <v>221</v>
      </c>
      <c r="C298" s="23" t="s">
        <v>238</v>
      </c>
      <c r="D298" s="25"/>
      <c r="E298" s="94">
        <f>E299</f>
        <v>15421.900000000001</v>
      </c>
    </row>
    <row r="299" spans="1:5" ht="41.25" customHeight="1">
      <c r="A299" s="26" t="s">
        <v>239</v>
      </c>
      <c r="B299" s="23" t="s">
        <v>221</v>
      </c>
      <c r="C299" s="23" t="s">
        <v>240</v>
      </c>
      <c r="D299" s="25"/>
      <c r="E299" s="94">
        <f>E300+E302</f>
        <v>15421.900000000001</v>
      </c>
    </row>
    <row r="300" spans="1:5" ht="33" customHeight="1">
      <c r="A300" s="26" t="s">
        <v>241</v>
      </c>
      <c r="B300" s="23" t="s">
        <v>221</v>
      </c>
      <c r="C300" s="23" t="s">
        <v>242</v>
      </c>
      <c r="D300" s="25"/>
      <c r="E300" s="94">
        <f>SUM(E301)</f>
        <v>5421.9000000000005</v>
      </c>
    </row>
    <row r="301" spans="1:5" ht="33" customHeight="1">
      <c r="A301" s="11" t="s">
        <v>54</v>
      </c>
      <c r="B301" s="23" t="s">
        <v>221</v>
      </c>
      <c r="C301" s="23" t="s">
        <v>242</v>
      </c>
      <c r="D301" s="25">
        <v>200</v>
      </c>
      <c r="E301" s="94">
        <f>4200+1176.2-1176.2+1054.6+17.5+149.8</f>
        <v>5421.9000000000005</v>
      </c>
    </row>
    <row r="302" spans="1:5" ht="45">
      <c r="A302" s="26" t="s">
        <v>243</v>
      </c>
      <c r="B302" s="23" t="s">
        <v>221</v>
      </c>
      <c r="C302" s="23" t="s">
        <v>244</v>
      </c>
      <c r="D302" s="25"/>
      <c r="E302" s="94">
        <f>SUM(E303)</f>
        <v>10000</v>
      </c>
    </row>
    <row r="303" spans="1:5" ht="30">
      <c r="A303" s="26" t="s">
        <v>18</v>
      </c>
      <c r="B303" s="23" t="s">
        <v>221</v>
      </c>
      <c r="C303" s="23" t="s">
        <v>244</v>
      </c>
      <c r="D303" s="25">
        <v>200</v>
      </c>
      <c r="E303" s="94">
        <f>7044.1+3155.9-200</f>
        <v>10000</v>
      </c>
    </row>
    <row r="304" spans="1:5" ht="60" hidden="1">
      <c r="A304" s="26" t="s">
        <v>245</v>
      </c>
      <c r="B304" s="23" t="s">
        <v>221</v>
      </c>
      <c r="C304" s="23" t="s">
        <v>246</v>
      </c>
      <c r="D304" s="25"/>
      <c r="E304" s="94">
        <f>SUM(E305+E307)</f>
        <v>0</v>
      </c>
    </row>
    <row r="305" spans="1:5" hidden="1">
      <c r="A305" s="26" t="s">
        <v>247</v>
      </c>
      <c r="B305" s="23" t="s">
        <v>221</v>
      </c>
      <c r="C305" s="23" t="s">
        <v>248</v>
      </c>
      <c r="D305" s="25"/>
      <c r="E305" s="94">
        <f>SUM(E306)</f>
        <v>0</v>
      </c>
    </row>
    <row r="306" spans="1:5" ht="30" hidden="1">
      <c r="A306" s="11" t="s">
        <v>54</v>
      </c>
      <c r="B306" s="23" t="s">
        <v>221</v>
      </c>
      <c r="C306" s="23" t="s">
        <v>248</v>
      </c>
      <c r="D306" s="25">
        <v>200</v>
      </c>
      <c r="E306" s="94">
        <f>500-500</f>
        <v>0</v>
      </c>
    </row>
    <row r="307" spans="1:5" ht="30" hidden="1">
      <c r="A307" s="37" t="s">
        <v>500</v>
      </c>
      <c r="B307" s="23" t="s">
        <v>221</v>
      </c>
      <c r="C307" s="23" t="s">
        <v>501</v>
      </c>
      <c r="D307" s="25"/>
      <c r="E307" s="94">
        <f>E308</f>
        <v>0</v>
      </c>
    </row>
    <row r="308" spans="1:5" ht="30" hidden="1">
      <c r="A308" s="37" t="s">
        <v>137</v>
      </c>
      <c r="B308" s="23" t="s">
        <v>221</v>
      </c>
      <c r="C308" s="23" t="s">
        <v>501</v>
      </c>
      <c r="D308" s="25">
        <v>400</v>
      </c>
      <c r="E308" s="94">
        <f>12719-12719</f>
        <v>0</v>
      </c>
    </row>
    <row r="309" spans="1:5">
      <c r="A309" s="31" t="s">
        <v>249</v>
      </c>
      <c r="B309" s="32" t="s">
        <v>250</v>
      </c>
      <c r="C309" s="32"/>
      <c r="D309" s="34"/>
      <c r="E309" s="93">
        <f>SUM(E315)+E310</f>
        <v>43879.7</v>
      </c>
    </row>
    <row r="310" spans="1:5">
      <c r="A310" s="11" t="s">
        <v>9</v>
      </c>
      <c r="B310" s="23" t="s">
        <v>250</v>
      </c>
      <c r="C310" s="13" t="s">
        <v>47</v>
      </c>
      <c r="D310" s="25"/>
      <c r="E310" s="94">
        <f>SUM(E311)</f>
        <v>11445.2</v>
      </c>
    </row>
    <row r="311" spans="1:5">
      <c r="A311" s="18" t="s">
        <v>25</v>
      </c>
      <c r="B311" s="23" t="s">
        <v>250</v>
      </c>
      <c r="C311" s="23" t="s">
        <v>57</v>
      </c>
      <c r="D311" s="25"/>
      <c r="E311" s="94">
        <f>SUM(E312)</f>
        <v>11445.2</v>
      </c>
    </row>
    <row r="312" spans="1:5" ht="140.25" customHeight="1">
      <c r="A312" s="26" t="s">
        <v>251</v>
      </c>
      <c r="B312" s="23" t="s">
        <v>250</v>
      </c>
      <c r="C312" s="23" t="s">
        <v>252</v>
      </c>
      <c r="D312" s="25"/>
      <c r="E312" s="94">
        <f>SUM(E313:E314)</f>
        <v>11445.2</v>
      </c>
    </row>
    <row r="313" spans="1:5">
      <c r="A313" s="26" t="s">
        <v>19</v>
      </c>
      <c r="B313" s="23" t="s">
        <v>250</v>
      </c>
      <c r="C313" s="23" t="s">
        <v>252</v>
      </c>
      <c r="D313" s="25">
        <v>800</v>
      </c>
      <c r="E313" s="94">
        <f>11445.2-41.7</f>
        <v>11403.5</v>
      </c>
    </row>
    <row r="314" spans="1:5" ht="30">
      <c r="A314" s="11" t="s">
        <v>54</v>
      </c>
      <c r="B314" s="23" t="s">
        <v>250</v>
      </c>
      <c r="C314" s="23" t="s">
        <v>252</v>
      </c>
      <c r="D314" s="25">
        <v>200</v>
      </c>
      <c r="E314" s="94">
        <v>41.7</v>
      </c>
    </row>
    <row r="315" spans="1:5" ht="60">
      <c r="A315" s="36" t="s">
        <v>253</v>
      </c>
      <c r="B315" s="23" t="s">
        <v>250</v>
      </c>
      <c r="C315" s="23" t="s">
        <v>76</v>
      </c>
      <c r="D315" s="25"/>
      <c r="E315" s="94">
        <f>SUM(E316)</f>
        <v>32434.5</v>
      </c>
    </row>
    <row r="316" spans="1:5" ht="45">
      <c r="A316" s="36" t="s">
        <v>225</v>
      </c>
      <c r="B316" s="23" t="s">
        <v>250</v>
      </c>
      <c r="C316" s="23" t="s">
        <v>226</v>
      </c>
      <c r="D316" s="25"/>
      <c r="E316" s="94">
        <f>SUM(E317)+E342</f>
        <v>32434.5</v>
      </c>
    </row>
    <row r="317" spans="1:5" ht="30">
      <c r="A317" s="36" t="s">
        <v>254</v>
      </c>
      <c r="B317" s="23" t="s">
        <v>250</v>
      </c>
      <c r="C317" s="23" t="s">
        <v>255</v>
      </c>
      <c r="D317" s="25"/>
      <c r="E317" s="94">
        <f>SUM(E324+E326+E330+E332+E334)+E318+E320+E322+E328+E336+E338+E340</f>
        <v>25969.5</v>
      </c>
    </row>
    <row r="318" spans="1:5" ht="30">
      <c r="A318" s="81" t="s">
        <v>521</v>
      </c>
      <c r="B318" s="23" t="s">
        <v>250</v>
      </c>
      <c r="C318" s="23" t="s">
        <v>522</v>
      </c>
      <c r="D318" s="25"/>
      <c r="E318" s="94">
        <f>E319</f>
        <v>951</v>
      </c>
    </row>
    <row r="319" spans="1:5" ht="30">
      <c r="A319" s="15" t="s">
        <v>54</v>
      </c>
      <c r="B319" s="23" t="s">
        <v>250</v>
      </c>
      <c r="C319" s="23" t="s">
        <v>522</v>
      </c>
      <c r="D319" s="25">
        <v>200</v>
      </c>
      <c r="E319" s="94">
        <v>951</v>
      </c>
    </row>
    <row r="320" spans="1:5" ht="30" hidden="1">
      <c r="A320" s="15" t="s">
        <v>523</v>
      </c>
      <c r="B320" s="23" t="s">
        <v>250</v>
      </c>
      <c r="C320" s="23" t="s">
        <v>525</v>
      </c>
      <c r="D320" s="25"/>
      <c r="E320" s="94">
        <f>E321</f>
        <v>0</v>
      </c>
    </row>
    <row r="321" spans="1:5" ht="30" hidden="1">
      <c r="A321" s="15" t="s">
        <v>54</v>
      </c>
      <c r="B321" s="23" t="s">
        <v>250</v>
      </c>
      <c r="C321" s="23" t="s">
        <v>525</v>
      </c>
      <c r="D321" s="25">
        <v>200</v>
      </c>
      <c r="E321" s="94">
        <f>100-100</f>
        <v>0</v>
      </c>
    </row>
    <row r="322" spans="1:5" ht="30" hidden="1">
      <c r="A322" s="15" t="s">
        <v>524</v>
      </c>
      <c r="B322" s="23" t="s">
        <v>250</v>
      </c>
      <c r="C322" s="23" t="s">
        <v>526</v>
      </c>
      <c r="D322" s="25"/>
      <c r="E322" s="94">
        <f>E323</f>
        <v>0</v>
      </c>
    </row>
    <row r="323" spans="1:5" ht="30" hidden="1">
      <c r="A323" s="15" t="s">
        <v>54</v>
      </c>
      <c r="B323" s="23" t="s">
        <v>250</v>
      </c>
      <c r="C323" s="23" t="s">
        <v>526</v>
      </c>
      <c r="D323" s="25">
        <v>200</v>
      </c>
      <c r="E323" s="94">
        <f>4500-4500</f>
        <v>0</v>
      </c>
    </row>
    <row r="324" spans="1:5">
      <c r="A324" s="36" t="s">
        <v>544</v>
      </c>
      <c r="B324" s="23" t="s">
        <v>250</v>
      </c>
      <c r="C324" s="23" t="s">
        <v>256</v>
      </c>
      <c r="D324" s="25"/>
      <c r="E324" s="94">
        <f>SUM(E325)</f>
        <v>7999</v>
      </c>
    </row>
    <row r="325" spans="1:5" ht="30">
      <c r="A325" s="26" t="s">
        <v>137</v>
      </c>
      <c r="B325" s="23" t="s">
        <v>250</v>
      </c>
      <c r="C325" s="23" t="s">
        <v>256</v>
      </c>
      <c r="D325" s="25">
        <v>400</v>
      </c>
      <c r="E325" s="94">
        <f>8400+843.9-1244.9</f>
        <v>7999</v>
      </c>
    </row>
    <row r="326" spans="1:5" ht="30" hidden="1">
      <c r="A326" s="22" t="s">
        <v>257</v>
      </c>
      <c r="B326" s="23" t="s">
        <v>250</v>
      </c>
      <c r="C326" s="23" t="s">
        <v>258</v>
      </c>
      <c r="D326" s="25"/>
      <c r="E326" s="94">
        <f>SUM(E327)</f>
        <v>0</v>
      </c>
    </row>
    <row r="327" spans="1:5" ht="30" hidden="1">
      <c r="A327" s="26" t="s">
        <v>137</v>
      </c>
      <c r="B327" s="23" t="s">
        <v>250</v>
      </c>
      <c r="C327" s="23" t="s">
        <v>258</v>
      </c>
      <c r="D327" s="25">
        <v>400</v>
      </c>
      <c r="E327" s="94">
        <f>100-100</f>
        <v>0</v>
      </c>
    </row>
    <row r="328" spans="1:5" ht="30">
      <c r="A328" s="26" t="s">
        <v>527</v>
      </c>
      <c r="B328" s="23" t="s">
        <v>250</v>
      </c>
      <c r="C328" s="23" t="s">
        <v>528</v>
      </c>
      <c r="D328" s="25"/>
      <c r="E328" s="94">
        <f>E329</f>
        <v>17.5</v>
      </c>
    </row>
    <row r="329" spans="1:5" ht="30">
      <c r="A329" s="37" t="s">
        <v>137</v>
      </c>
      <c r="B329" s="23" t="s">
        <v>250</v>
      </c>
      <c r="C329" s="23" t="s">
        <v>528</v>
      </c>
      <c r="D329" s="25">
        <v>400</v>
      </c>
      <c r="E329" s="94">
        <v>17.5</v>
      </c>
    </row>
    <row r="330" spans="1:5" ht="30" hidden="1">
      <c r="A330" s="26" t="s">
        <v>259</v>
      </c>
      <c r="B330" s="23" t="s">
        <v>250</v>
      </c>
      <c r="C330" s="23" t="s">
        <v>260</v>
      </c>
      <c r="D330" s="25"/>
      <c r="E330" s="94">
        <f>SUM(E331)</f>
        <v>0</v>
      </c>
    </row>
    <row r="331" spans="1:5" ht="36" hidden="1" customHeight="1">
      <c r="A331" s="26" t="s">
        <v>137</v>
      </c>
      <c r="B331" s="23" t="s">
        <v>250</v>
      </c>
      <c r="C331" s="23" t="s">
        <v>260</v>
      </c>
      <c r="D331" s="25">
        <v>400</v>
      </c>
      <c r="E331" s="94">
        <f>100-100</f>
        <v>0</v>
      </c>
    </row>
    <row r="332" spans="1:5" ht="60" hidden="1">
      <c r="A332" s="26" t="s">
        <v>261</v>
      </c>
      <c r="B332" s="23" t="s">
        <v>250</v>
      </c>
      <c r="C332" s="23" t="s">
        <v>262</v>
      </c>
      <c r="D332" s="25"/>
      <c r="E332" s="94">
        <f>SUM(E333)</f>
        <v>0</v>
      </c>
    </row>
    <row r="333" spans="1:5" ht="30" hidden="1">
      <c r="A333" s="26" t="s">
        <v>137</v>
      </c>
      <c r="B333" s="23" t="s">
        <v>250</v>
      </c>
      <c r="C333" s="23" t="s">
        <v>262</v>
      </c>
      <c r="D333" s="25">
        <v>400</v>
      </c>
      <c r="E333" s="94">
        <f>100-100</f>
        <v>0</v>
      </c>
    </row>
    <row r="334" spans="1:5" ht="30">
      <c r="A334" s="26" t="s">
        <v>263</v>
      </c>
      <c r="B334" s="23" t="s">
        <v>250</v>
      </c>
      <c r="C334" s="23" t="s">
        <v>264</v>
      </c>
      <c r="D334" s="25"/>
      <c r="E334" s="94">
        <f>SUM(E335)</f>
        <v>1200</v>
      </c>
    </row>
    <row r="335" spans="1:5" ht="30">
      <c r="A335" s="26" t="s">
        <v>137</v>
      </c>
      <c r="B335" s="23" t="s">
        <v>250</v>
      </c>
      <c r="C335" s="23" t="s">
        <v>264</v>
      </c>
      <c r="D335" s="25">
        <v>400</v>
      </c>
      <c r="E335" s="94">
        <f>500+1244.9-706.2+161.3</f>
        <v>1200</v>
      </c>
    </row>
    <row r="336" spans="1:5" ht="44.25" customHeight="1">
      <c r="A336" s="37" t="s">
        <v>560</v>
      </c>
      <c r="B336" s="23" t="s">
        <v>250</v>
      </c>
      <c r="C336" s="23" t="s">
        <v>529</v>
      </c>
      <c r="D336" s="25"/>
      <c r="E336" s="94">
        <f>E337</f>
        <v>12</v>
      </c>
    </row>
    <row r="337" spans="1:5" ht="30">
      <c r="A337" s="37" t="s">
        <v>137</v>
      </c>
      <c r="B337" s="23" t="s">
        <v>250</v>
      </c>
      <c r="C337" s="23" t="s">
        <v>529</v>
      </c>
      <c r="D337" s="25">
        <v>400</v>
      </c>
      <c r="E337" s="94">
        <v>12</v>
      </c>
    </row>
    <row r="338" spans="1:5" ht="30">
      <c r="A338" s="37" t="s">
        <v>538</v>
      </c>
      <c r="B338" s="23" t="s">
        <v>250</v>
      </c>
      <c r="C338" s="23" t="s">
        <v>530</v>
      </c>
      <c r="D338" s="25"/>
      <c r="E338" s="94">
        <f>E339</f>
        <v>790</v>
      </c>
    </row>
    <row r="339" spans="1:5" ht="30">
      <c r="A339" s="15" t="s">
        <v>54</v>
      </c>
      <c r="B339" s="23" t="s">
        <v>250</v>
      </c>
      <c r="C339" s="23" t="s">
        <v>530</v>
      </c>
      <c r="D339" s="25">
        <v>200</v>
      </c>
      <c r="E339" s="94">
        <f>760.6+29.4</f>
        <v>790</v>
      </c>
    </row>
    <row r="340" spans="1:5" ht="197.25" customHeight="1">
      <c r="A340" s="15" t="s">
        <v>614</v>
      </c>
      <c r="B340" s="23" t="s">
        <v>250</v>
      </c>
      <c r="C340" s="25" t="s">
        <v>574</v>
      </c>
      <c r="D340" s="25"/>
      <c r="E340" s="94">
        <f>E341</f>
        <v>15000</v>
      </c>
    </row>
    <row r="341" spans="1:5" ht="30">
      <c r="A341" s="15" t="s">
        <v>54</v>
      </c>
      <c r="B341" s="23" t="s">
        <v>250</v>
      </c>
      <c r="C341" s="25" t="s">
        <v>574</v>
      </c>
      <c r="D341" s="25">
        <v>200</v>
      </c>
      <c r="E341" s="94">
        <v>15000</v>
      </c>
    </row>
    <row r="342" spans="1:5" ht="30">
      <c r="A342" s="36" t="s">
        <v>227</v>
      </c>
      <c r="B342" s="23" t="s">
        <v>250</v>
      </c>
      <c r="C342" s="23" t="s">
        <v>228</v>
      </c>
      <c r="D342" s="25"/>
      <c r="E342" s="94">
        <f>SUM(E343+E345+E347)</f>
        <v>6465</v>
      </c>
    </row>
    <row r="343" spans="1:5" ht="30">
      <c r="A343" s="22" t="s">
        <v>265</v>
      </c>
      <c r="B343" s="23" t="s">
        <v>250</v>
      </c>
      <c r="C343" s="23" t="s">
        <v>266</v>
      </c>
      <c r="D343" s="25"/>
      <c r="E343" s="94">
        <f>SUM(E344)</f>
        <v>6465</v>
      </c>
    </row>
    <row r="344" spans="1:5">
      <c r="A344" s="26" t="s">
        <v>19</v>
      </c>
      <c r="B344" s="23" t="s">
        <v>250</v>
      </c>
      <c r="C344" s="23" t="s">
        <v>266</v>
      </c>
      <c r="D344" s="25">
        <v>800</v>
      </c>
      <c r="E344" s="94">
        <f>5565+1000-100</f>
        <v>6465</v>
      </c>
    </row>
    <row r="345" spans="1:5" ht="45" hidden="1">
      <c r="A345" s="22" t="s">
        <v>267</v>
      </c>
      <c r="B345" s="23" t="s">
        <v>250</v>
      </c>
      <c r="C345" s="23" t="s">
        <v>268</v>
      </c>
      <c r="D345" s="25"/>
      <c r="E345" s="94">
        <f>SUM(E346)</f>
        <v>0</v>
      </c>
    </row>
    <row r="346" spans="1:5" hidden="1">
      <c r="A346" s="26" t="s">
        <v>19</v>
      </c>
      <c r="B346" s="23" t="s">
        <v>250</v>
      </c>
      <c r="C346" s="23" t="s">
        <v>268</v>
      </c>
      <c r="D346" s="25">
        <v>800</v>
      </c>
      <c r="E346" s="94">
        <f>1643.7-1643.7</f>
        <v>0</v>
      </c>
    </row>
    <row r="347" spans="1:5" ht="45" hidden="1">
      <c r="A347" s="26" t="s">
        <v>269</v>
      </c>
      <c r="B347" s="23" t="s">
        <v>250</v>
      </c>
      <c r="C347" s="23" t="s">
        <v>270</v>
      </c>
      <c r="D347" s="25"/>
      <c r="E347" s="94">
        <f>SUM(E348)</f>
        <v>0</v>
      </c>
    </row>
    <row r="348" spans="1:5" hidden="1">
      <c r="A348" s="26" t="s">
        <v>19</v>
      </c>
      <c r="B348" s="23" t="s">
        <v>250</v>
      </c>
      <c r="C348" s="23" t="s">
        <v>270</v>
      </c>
      <c r="D348" s="25">
        <v>800</v>
      </c>
      <c r="E348" s="94">
        <f>1000-1000</f>
        <v>0</v>
      </c>
    </row>
    <row r="349" spans="1:5">
      <c r="A349" s="31" t="s">
        <v>271</v>
      </c>
      <c r="B349" s="32" t="s">
        <v>272</v>
      </c>
      <c r="C349" s="32"/>
      <c r="D349" s="34"/>
      <c r="E349" s="93">
        <f>E350+E363</f>
        <v>258552</v>
      </c>
    </row>
    <row r="350" spans="1:5" ht="60">
      <c r="A350" s="22" t="s">
        <v>39</v>
      </c>
      <c r="B350" s="23" t="s">
        <v>272</v>
      </c>
      <c r="C350" s="23" t="s">
        <v>76</v>
      </c>
      <c r="D350" s="25"/>
      <c r="E350" s="94">
        <f>SUM(E351)</f>
        <v>243877.1</v>
      </c>
    </row>
    <row r="351" spans="1:5">
      <c r="A351" s="22" t="s">
        <v>177</v>
      </c>
      <c r="B351" s="23" t="s">
        <v>272</v>
      </c>
      <c r="C351" s="23" t="s">
        <v>178</v>
      </c>
      <c r="D351" s="25"/>
      <c r="E351" s="94">
        <f>SUM(E352)</f>
        <v>243877.1</v>
      </c>
    </row>
    <row r="352" spans="1:5" ht="30">
      <c r="A352" s="22" t="s">
        <v>179</v>
      </c>
      <c r="B352" s="23" t="s">
        <v>272</v>
      </c>
      <c r="C352" s="23" t="s">
        <v>180</v>
      </c>
      <c r="D352" s="25"/>
      <c r="E352" s="94">
        <f>SUM(E353+E355+E357+E359+E361)</f>
        <v>243877.1</v>
      </c>
    </row>
    <row r="353" spans="1:5">
      <c r="A353" s="36" t="s">
        <v>273</v>
      </c>
      <c r="B353" s="23" t="s">
        <v>272</v>
      </c>
      <c r="C353" s="23" t="s">
        <v>274</v>
      </c>
      <c r="D353" s="25"/>
      <c r="E353" s="94">
        <f>SUM(E354)</f>
        <v>54818</v>
      </c>
    </row>
    <row r="354" spans="1:5" ht="30">
      <c r="A354" s="11" t="s">
        <v>54</v>
      </c>
      <c r="B354" s="23" t="s">
        <v>272</v>
      </c>
      <c r="C354" s="23" t="s">
        <v>274</v>
      </c>
      <c r="D354" s="25">
        <v>200</v>
      </c>
      <c r="E354" s="94">
        <f>44084.3+2500+1394.1+100+6000+739.6</f>
        <v>54818</v>
      </c>
    </row>
    <row r="355" spans="1:5">
      <c r="A355" s="22" t="s">
        <v>275</v>
      </c>
      <c r="B355" s="23" t="s">
        <v>272</v>
      </c>
      <c r="C355" s="23" t="s">
        <v>276</v>
      </c>
      <c r="D355" s="25"/>
      <c r="E355" s="94">
        <f>SUM(E356)</f>
        <v>23807.200000000004</v>
      </c>
    </row>
    <row r="356" spans="1:5" ht="30">
      <c r="A356" s="11" t="s">
        <v>54</v>
      </c>
      <c r="B356" s="23" t="s">
        <v>272</v>
      </c>
      <c r="C356" s="23" t="s">
        <v>276</v>
      </c>
      <c r="D356" s="25">
        <v>200</v>
      </c>
      <c r="E356" s="94">
        <f>12009.6+4530.8-416-1192.8-821.4+1697+8000</f>
        <v>23807.200000000004</v>
      </c>
    </row>
    <row r="357" spans="1:5" ht="90">
      <c r="A357" s="39" t="s">
        <v>277</v>
      </c>
      <c r="B357" s="23" t="s">
        <v>272</v>
      </c>
      <c r="C357" s="23" t="s">
        <v>278</v>
      </c>
      <c r="D357" s="25"/>
      <c r="E357" s="94">
        <f>SUM(E358)</f>
        <v>76373.399999999994</v>
      </c>
    </row>
    <row r="358" spans="1:5">
      <c r="A358" s="26" t="s">
        <v>19</v>
      </c>
      <c r="B358" s="23" t="s">
        <v>272</v>
      </c>
      <c r="C358" s="23" t="s">
        <v>278</v>
      </c>
      <c r="D358" s="25">
        <v>800</v>
      </c>
      <c r="E358" s="94">
        <f>72373.4+4000</f>
        <v>76373.399999999994</v>
      </c>
    </row>
    <row r="359" spans="1:5" ht="45">
      <c r="A359" s="40" t="s">
        <v>580</v>
      </c>
      <c r="B359" s="23" t="s">
        <v>272</v>
      </c>
      <c r="C359" s="23" t="s">
        <v>279</v>
      </c>
      <c r="D359" s="25"/>
      <c r="E359" s="94">
        <f>SUM(E360)</f>
        <v>52211</v>
      </c>
    </row>
    <row r="360" spans="1:5">
      <c r="A360" s="26" t="s">
        <v>19</v>
      </c>
      <c r="B360" s="23" t="s">
        <v>272</v>
      </c>
      <c r="C360" s="23" t="s">
        <v>279</v>
      </c>
      <c r="D360" s="25">
        <v>800</v>
      </c>
      <c r="E360" s="94">
        <f>38750+7461+6000</f>
        <v>52211</v>
      </c>
    </row>
    <row r="361" spans="1:5" ht="45">
      <c r="A361" s="22" t="s">
        <v>280</v>
      </c>
      <c r="B361" s="23" t="s">
        <v>272</v>
      </c>
      <c r="C361" s="23" t="s">
        <v>281</v>
      </c>
      <c r="D361" s="25"/>
      <c r="E361" s="94">
        <f>SUM(E362)</f>
        <v>36667.5</v>
      </c>
    </row>
    <row r="362" spans="1:5">
      <c r="A362" s="26" t="s">
        <v>19</v>
      </c>
      <c r="B362" s="23" t="s">
        <v>272</v>
      </c>
      <c r="C362" s="23" t="s">
        <v>281</v>
      </c>
      <c r="D362" s="25">
        <v>800</v>
      </c>
      <c r="E362" s="94">
        <f>29067.5+3600+4000</f>
        <v>36667.5</v>
      </c>
    </row>
    <row r="363" spans="1:5" ht="45">
      <c r="A363" s="22" t="s">
        <v>98</v>
      </c>
      <c r="B363" s="23" t="s">
        <v>272</v>
      </c>
      <c r="C363" s="23" t="s">
        <v>99</v>
      </c>
      <c r="D363" s="25"/>
      <c r="E363" s="94">
        <f>SUM(E364)</f>
        <v>14674.9</v>
      </c>
    </row>
    <row r="364" spans="1:5" ht="30">
      <c r="A364" s="22" t="s">
        <v>128</v>
      </c>
      <c r="B364" s="23" t="s">
        <v>272</v>
      </c>
      <c r="C364" s="23" t="s">
        <v>129</v>
      </c>
      <c r="D364" s="25"/>
      <c r="E364" s="94">
        <f>SUM(E365)</f>
        <v>14674.9</v>
      </c>
    </row>
    <row r="365" spans="1:5" ht="30">
      <c r="A365" s="22" t="s">
        <v>130</v>
      </c>
      <c r="B365" s="23" t="s">
        <v>272</v>
      </c>
      <c r="C365" s="23" t="s">
        <v>131</v>
      </c>
      <c r="D365" s="25"/>
      <c r="E365" s="94">
        <f>SUM(E368)+E366</f>
        <v>14674.9</v>
      </c>
    </row>
    <row r="366" spans="1:5" ht="45">
      <c r="A366" s="40" t="s">
        <v>611</v>
      </c>
      <c r="B366" s="23" t="s">
        <v>272</v>
      </c>
      <c r="C366" s="23" t="s">
        <v>610</v>
      </c>
      <c r="D366" s="25"/>
      <c r="E366" s="94">
        <f>E367</f>
        <v>500</v>
      </c>
    </row>
    <row r="367" spans="1:5" ht="30">
      <c r="A367" s="15" t="s">
        <v>54</v>
      </c>
      <c r="B367" s="23" t="s">
        <v>272</v>
      </c>
      <c r="C367" s="23" t="s">
        <v>610</v>
      </c>
      <c r="D367" s="25">
        <v>200</v>
      </c>
      <c r="E367" s="94">
        <v>500</v>
      </c>
    </row>
    <row r="368" spans="1:5" ht="45">
      <c r="A368" s="26" t="s">
        <v>282</v>
      </c>
      <c r="B368" s="23" t="s">
        <v>272</v>
      </c>
      <c r="C368" s="23" t="s">
        <v>283</v>
      </c>
      <c r="D368" s="25"/>
      <c r="E368" s="94">
        <f>SUM(E369)</f>
        <v>14174.9</v>
      </c>
    </row>
    <row r="369" spans="1:5">
      <c r="A369" s="26" t="s">
        <v>19</v>
      </c>
      <c r="B369" s="23" t="s">
        <v>272</v>
      </c>
      <c r="C369" s="23" t="s">
        <v>283</v>
      </c>
      <c r="D369" s="25">
        <v>800</v>
      </c>
      <c r="E369" s="94">
        <f>12931.3+1241.9+1.7</f>
        <v>14174.9</v>
      </c>
    </row>
    <row r="370" spans="1:5">
      <c r="A370" s="31" t="s">
        <v>284</v>
      </c>
      <c r="B370" s="32" t="s">
        <v>285</v>
      </c>
      <c r="C370" s="32"/>
      <c r="D370" s="34"/>
      <c r="E370" s="93">
        <f>E371+E378</f>
        <v>95099</v>
      </c>
    </row>
    <row r="371" spans="1:5" ht="60">
      <c r="A371" s="11" t="s">
        <v>286</v>
      </c>
      <c r="B371" s="12" t="s">
        <v>285</v>
      </c>
      <c r="C371" s="13" t="s">
        <v>76</v>
      </c>
      <c r="D371" s="16"/>
      <c r="E371" s="94">
        <f>SUM(E372)</f>
        <v>32215.200000000001</v>
      </c>
    </row>
    <row r="372" spans="1:5" ht="75">
      <c r="A372" s="11" t="s">
        <v>287</v>
      </c>
      <c r="B372" s="12" t="s">
        <v>285</v>
      </c>
      <c r="C372" s="13" t="s">
        <v>288</v>
      </c>
      <c r="D372" s="16"/>
      <c r="E372" s="94">
        <f>SUM(E373)</f>
        <v>32215.200000000001</v>
      </c>
    </row>
    <row r="373" spans="1:5" ht="30">
      <c r="A373" s="11" t="s">
        <v>289</v>
      </c>
      <c r="B373" s="12" t="s">
        <v>285</v>
      </c>
      <c r="C373" s="13" t="s">
        <v>290</v>
      </c>
      <c r="D373" s="16"/>
      <c r="E373" s="94">
        <f>SUM(E374)</f>
        <v>32215.200000000001</v>
      </c>
    </row>
    <row r="374" spans="1:5" ht="30">
      <c r="A374" s="20" t="s">
        <v>23</v>
      </c>
      <c r="B374" s="12" t="s">
        <v>285</v>
      </c>
      <c r="C374" s="13" t="s">
        <v>291</v>
      </c>
      <c r="D374" s="16"/>
      <c r="E374" s="94">
        <f>SUM(E375:E377)</f>
        <v>32215.200000000001</v>
      </c>
    </row>
    <row r="375" spans="1:5" ht="60">
      <c r="A375" s="11" t="s">
        <v>11</v>
      </c>
      <c r="B375" s="12" t="s">
        <v>285</v>
      </c>
      <c r="C375" s="13" t="s">
        <v>291</v>
      </c>
      <c r="D375" s="16">
        <v>100</v>
      </c>
      <c r="E375" s="94">
        <f>30360.4+120</f>
        <v>30480.400000000001</v>
      </c>
    </row>
    <row r="376" spans="1:5" ht="30">
      <c r="A376" s="11" t="s">
        <v>54</v>
      </c>
      <c r="B376" s="12" t="s">
        <v>285</v>
      </c>
      <c r="C376" s="13" t="s">
        <v>291</v>
      </c>
      <c r="D376" s="16">
        <v>200</v>
      </c>
      <c r="E376" s="94">
        <f>1692.3+40+2.5</f>
        <v>1734.8</v>
      </c>
    </row>
    <row r="377" spans="1:5">
      <c r="A377" s="18" t="s">
        <v>19</v>
      </c>
      <c r="B377" s="12" t="s">
        <v>285</v>
      </c>
      <c r="C377" s="13" t="s">
        <v>291</v>
      </c>
      <c r="D377" s="16">
        <v>800</v>
      </c>
      <c r="E377" s="94">
        <f>42.5-40-2.5</f>
        <v>0</v>
      </c>
    </row>
    <row r="378" spans="1:5" ht="60">
      <c r="A378" s="22" t="s">
        <v>292</v>
      </c>
      <c r="B378" s="23" t="s">
        <v>285</v>
      </c>
      <c r="C378" s="23" t="s">
        <v>185</v>
      </c>
      <c r="D378" s="25"/>
      <c r="E378" s="94">
        <f>SUM(E379)</f>
        <v>62883.8</v>
      </c>
    </row>
    <row r="379" spans="1:5" ht="45">
      <c r="A379" s="22" t="s">
        <v>293</v>
      </c>
      <c r="B379" s="23" t="s">
        <v>285</v>
      </c>
      <c r="C379" s="23" t="s">
        <v>294</v>
      </c>
      <c r="D379" s="25"/>
      <c r="E379" s="94">
        <f>SUM(E380)</f>
        <v>62883.8</v>
      </c>
    </row>
    <row r="380" spans="1:5" ht="30">
      <c r="A380" s="26" t="s">
        <v>38</v>
      </c>
      <c r="B380" s="23" t="s">
        <v>285</v>
      </c>
      <c r="C380" s="23" t="s">
        <v>295</v>
      </c>
      <c r="D380" s="25"/>
      <c r="E380" s="94">
        <f>SUM(E381:E383)</f>
        <v>62883.8</v>
      </c>
    </row>
    <row r="381" spans="1:5" ht="60">
      <c r="A381" s="26" t="s">
        <v>11</v>
      </c>
      <c r="B381" s="23" t="s">
        <v>285</v>
      </c>
      <c r="C381" s="23" t="s">
        <v>295</v>
      </c>
      <c r="D381" s="25">
        <v>100</v>
      </c>
      <c r="E381" s="94">
        <f>34719-1000-362</f>
        <v>33357</v>
      </c>
    </row>
    <row r="382" spans="1:5" ht="30">
      <c r="A382" s="11" t="s">
        <v>54</v>
      </c>
      <c r="B382" s="23" t="s">
        <v>285</v>
      </c>
      <c r="C382" s="23" t="s">
        <v>295</v>
      </c>
      <c r="D382" s="25">
        <v>200</v>
      </c>
      <c r="E382" s="94">
        <f>2339.4-450</f>
        <v>1889.4</v>
      </c>
    </row>
    <row r="383" spans="1:5">
      <c r="A383" s="18" t="s">
        <v>19</v>
      </c>
      <c r="B383" s="23" t="s">
        <v>285</v>
      </c>
      <c r="C383" s="23" t="s">
        <v>295</v>
      </c>
      <c r="D383" s="25">
        <v>800</v>
      </c>
      <c r="E383" s="94">
        <f>25858.2+1893.5-114.3</f>
        <v>27637.4</v>
      </c>
    </row>
    <row r="384" spans="1:5">
      <c r="A384" s="4" t="s">
        <v>296</v>
      </c>
      <c r="B384" s="5" t="s">
        <v>297</v>
      </c>
      <c r="C384" s="6"/>
      <c r="D384" s="7"/>
      <c r="E384" s="95">
        <f>SUM(E385+E412+E452+E475)</f>
        <v>2106773.4</v>
      </c>
    </row>
    <row r="385" spans="1:5">
      <c r="A385" s="4" t="s">
        <v>298</v>
      </c>
      <c r="B385" s="5" t="s">
        <v>299</v>
      </c>
      <c r="C385" s="6"/>
      <c r="D385" s="7"/>
      <c r="E385" s="95">
        <f>SUM(E386)</f>
        <v>802811.30000000016</v>
      </c>
    </row>
    <row r="386" spans="1:5" ht="30">
      <c r="A386" s="11" t="s">
        <v>300</v>
      </c>
      <c r="B386" s="12" t="s">
        <v>299</v>
      </c>
      <c r="C386" s="13" t="s">
        <v>301</v>
      </c>
      <c r="D386" s="16"/>
      <c r="E386" s="96">
        <f>SUM(E387+E406)</f>
        <v>802811.30000000016</v>
      </c>
    </row>
    <row r="387" spans="1:5" ht="30">
      <c r="A387" s="17" t="s">
        <v>302</v>
      </c>
      <c r="B387" s="12" t="s">
        <v>299</v>
      </c>
      <c r="C387" s="13" t="s">
        <v>303</v>
      </c>
      <c r="D387" s="16"/>
      <c r="E387" s="96">
        <f>SUM(E388+E393)</f>
        <v>801927.40000000014</v>
      </c>
    </row>
    <row r="388" spans="1:5" ht="45">
      <c r="A388" s="17" t="s">
        <v>304</v>
      </c>
      <c r="B388" s="12" t="s">
        <v>299</v>
      </c>
      <c r="C388" s="13" t="s">
        <v>305</v>
      </c>
      <c r="D388" s="16"/>
      <c r="E388" s="96">
        <f>SUM(E389+E391)</f>
        <v>669880.20000000007</v>
      </c>
    </row>
    <row r="389" spans="1:5" ht="30">
      <c r="A389" s="17" t="s">
        <v>32</v>
      </c>
      <c r="B389" s="12" t="s">
        <v>299</v>
      </c>
      <c r="C389" s="13" t="s">
        <v>306</v>
      </c>
      <c r="D389" s="16"/>
      <c r="E389" s="96">
        <f>SUM(E390)</f>
        <v>311664.80000000005</v>
      </c>
    </row>
    <row r="390" spans="1:5" ht="30" customHeight="1">
      <c r="A390" s="11" t="s">
        <v>44</v>
      </c>
      <c r="B390" s="12" t="s">
        <v>299</v>
      </c>
      <c r="C390" s="13" t="s">
        <v>306</v>
      </c>
      <c r="D390" s="16">
        <v>600</v>
      </c>
      <c r="E390" s="96">
        <f>339732.4-14626-1641.6-1173.5-10626.5</f>
        <v>311664.80000000005</v>
      </c>
    </row>
    <row r="391" spans="1:5" ht="90">
      <c r="A391" s="17" t="s">
        <v>307</v>
      </c>
      <c r="B391" s="12" t="s">
        <v>299</v>
      </c>
      <c r="C391" s="13" t="s">
        <v>308</v>
      </c>
      <c r="D391" s="16"/>
      <c r="E391" s="96">
        <f>E392</f>
        <v>358215.4</v>
      </c>
    </row>
    <row r="392" spans="1:5" ht="30">
      <c r="A392" s="11" t="s">
        <v>44</v>
      </c>
      <c r="B392" s="12" t="s">
        <v>299</v>
      </c>
      <c r="C392" s="13" t="s">
        <v>308</v>
      </c>
      <c r="D392" s="12" t="s">
        <v>309</v>
      </c>
      <c r="E392" s="96">
        <f>363190.7-4975.3</f>
        <v>358215.4</v>
      </c>
    </row>
    <row r="393" spans="1:5" ht="30">
      <c r="A393" s="11" t="s">
        <v>310</v>
      </c>
      <c r="B393" s="13" t="s">
        <v>299</v>
      </c>
      <c r="C393" s="13" t="s">
        <v>311</v>
      </c>
      <c r="D393" s="13"/>
      <c r="E393" s="97">
        <f>E398+E394+E402+E400+E404+E396</f>
        <v>132047.20000000001</v>
      </c>
    </row>
    <row r="394" spans="1:5" ht="30">
      <c r="A394" s="49" t="s">
        <v>531</v>
      </c>
      <c r="B394" s="13" t="s">
        <v>299</v>
      </c>
      <c r="C394" s="13" t="s">
        <v>532</v>
      </c>
      <c r="D394" s="13"/>
      <c r="E394" s="97">
        <f>E395</f>
        <v>4721.5</v>
      </c>
    </row>
    <row r="395" spans="1:5" ht="30">
      <c r="A395" s="15" t="s">
        <v>44</v>
      </c>
      <c r="B395" s="13" t="s">
        <v>299</v>
      </c>
      <c r="C395" s="13" t="s">
        <v>532</v>
      </c>
      <c r="D395" s="13" t="s">
        <v>309</v>
      </c>
      <c r="E395" s="97">
        <f>2880+1866.5-25</f>
        <v>4721.5</v>
      </c>
    </row>
    <row r="396" spans="1:5" ht="60">
      <c r="A396" s="15" t="s">
        <v>613</v>
      </c>
      <c r="B396" s="13" t="s">
        <v>299</v>
      </c>
      <c r="C396" s="13" t="s">
        <v>612</v>
      </c>
      <c r="D396" s="13"/>
      <c r="E396" s="97">
        <f>E397</f>
        <v>264.7</v>
      </c>
    </row>
    <row r="397" spans="1:5" ht="30">
      <c r="A397" s="15" t="s">
        <v>44</v>
      </c>
      <c r="B397" s="13" t="s">
        <v>299</v>
      </c>
      <c r="C397" s="13" t="s">
        <v>612</v>
      </c>
      <c r="D397" s="13" t="s">
        <v>309</v>
      </c>
      <c r="E397" s="97">
        <v>264.7</v>
      </c>
    </row>
    <row r="398" spans="1:5">
      <c r="A398" s="11" t="s">
        <v>312</v>
      </c>
      <c r="B398" s="13" t="s">
        <v>299</v>
      </c>
      <c r="C398" s="44" t="s">
        <v>313</v>
      </c>
      <c r="D398" s="59"/>
      <c r="E398" s="97">
        <f>E399</f>
        <v>49993.7</v>
      </c>
    </row>
    <row r="399" spans="1:5" ht="30">
      <c r="A399" s="61" t="s">
        <v>137</v>
      </c>
      <c r="B399" s="13" t="s">
        <v>299</v>
      </c>
      <c r="C399" s="44" t="s">
        <v>313</v>
      </c>
      <c r="D399" s="59">
        <v>400</v>
      </c>
      <c r="E399" s="97">
        <v>49993.7</v>
      </c>
    </row>
    <row r="400" spans="1:5" ht="90">
      <c r="A400" s="83" t="s">
        <v>601</v>
      </c>
      <c r="B400" s="13" t="s">
        <v>299</v>
      </c>
      <c r="C400" s="44" t="s">
        <v>602</v>
      </c>
      <c r="D400" s="59"/>
      <c r="E400" s="97">
        <f>E401</f>
        <v>1419.6</v>
      </c>
    </row>
    <row r="401" spans="1:5" ht="30">
      <c r="A401" s="15" t="s">
        <v>44</v>
      </c>
      <c r="B401" s="13" t="s">
        <v>299</v>
      </c>
      <c r="C401" s="44" t="s">
        <v>602</v>
      </c>
      <c r="D401" s="59">
        <v>600</v>
      </c>
      <c r="E401" s="97">
        <v>1419.6</v>
      </c>
    </row>
    <row r="402" spans="1:5" ht="60">
      <c r="A402" s="83" t="s">
        <v>533</v>
      </c>
      <c r="B402" s="13" t="s">
        <v>299</v>
      </c>
      <c r="C402" s="44" t="s">
        <v>534</v>
      </c>
      <c r="D402" s="59"/>
      <c r="E402" s="97">
        <f>E403</f>
        <v>75567.3</v>
      </c>
    </row>
    <row r="403" spans="1:5" ht="30">
      <c r="A403" s="83" t="s">
        <v>137</v>
      </c>
      <c r="B403" s="13" t="s">
        <v>299</v>
      </c>
      <c r="C403" s="44" t="s">
        <v>534</v>
      </c>
      <c r="D403" s="59">
        <v>400</v>
      </c>
      <c r="E403" s="97">
        <v>75567.3</v>
      </c>
    </row>
    <row r="404" spans="1:5" ht="90">
      <c r="A404" s="83" t="s">
        <v>601</v>
      </c>
      <c r="B404" s="13" t="s">
        <v>299</v>
      </c>
      <c r="C404" s="44" t="s">
        <v>603</v>
      </c>
      <c r="D404" s="59"/>
      <c r="E404" s="97">
        <f>E405</f>
        <v>80.400000000000006</v>
      </c>
    </row>
    <row r="405" spans="1:5" ht="30">
      <c r="A405" s="15" t="s">
        <v>44</v>
      </c>
      <c r="B405" s="13" t="s">
        <v>299</v>
      </c>
      <c r="C405" s="44" t="s">
        <v>603</v>
      </c>
      <c r="D405" s="59">
        <v>600</v>
      </c>
      <c r="E405" s="97">
        <v>80.400000000000006</v>
      </c>
    </row>
    <row r="406" spans="1:5" ht="45">
      <c r="A406" s="62" t="s">
        <v>314</v>
      </c>
      <c r="B406" s="64" t="s">
        <v>299</v>
      </c>
      <c r="C406" s="63" t="s">
        <v>315</v>
      </c>
      <c r="D406" s="64"/>
      <c r="E406" s="97">
        <f>E407</f>
        <v>883.9</v>
      </c>
    </row>
    <row r="407" spans="1:5" ht="30">
      <c r="A407" s="61" t="s">
        <v>316</v>
      </c>
      <c r="B407" s="64" t="s">
        <v>299</v>
      </c>
      <c r="C407" s="63" t="s">
        <v>317</v>
      </c>
      <c r="D407" s="64"/>
      <c r="E407" s="97">
        <f>E410+E408</f>
        <v>883.9</v>
      </c>
    </row>
    <row r="408" spans="1:5" ht="30">
      <c r="A408" s="81" t="s">
        <v>491</v>
      </c>
      <c r="B408" s="63" t="s">
        <v>299</v>
      </c>
      <c r="C408" s="63" t="s">
        <v>535</v>
      </c>
      <c r="D408" s="64"/>
      <c r="E408" s="97">
        <f>E409</f>
        <v>190.1</v>
      </c>
    </row>
    <row r="409" spans="1:5" ht="30">
      <c r="A409" s="15" t="s">
        <v>44</v>
      </c>
      <c r="B409" s="63" t="s">
        <v>299</v>
      </c>
      <c r="C409" s="63" t="s">
        <v>535</v>
      </c>
      <c r="D409" s="64">
        <v>600</v>
      </c>
      <c r="E409" s="97">
        <f>113.7+91.2-14.8</f>
        <v>190.1</v>
      </c>
    </row>
    <row r="410" spans="1:5" ht="30">
      <c r="A410" s="65" t="s">
        <v>318</v>
      </c>
      <c r="B410" s="64" t="s">
        <v>299</v>
      </c>
      <c r="C410" s="63" t="s">
        <v>319</v>
      </c>
      <c r="D410" s="64"/>
      <c r="E410" s="97">
        <f>E411</f>
        <v>693.8</v>
      </c>
    </row>
    <row r="411" spans="1:5" ht="30">
      <c r="A411" s="15" t="s">
        <v>44</v>
      </c>
      <c r="B411" s="64" t="s">
        <v>299</v>
      </c>
      <c r="C411" s="63" t="s">
        <v>319</v>
      </c>
      <c r="D411" s="64">
        <v>600</v>
      </c>
      <c r="E411" s="97">
        <f>429.3+305.5-41</f>
        <v>693.8</v>
      </c>
    </row>
    <row r="412" spans="1:5">
      <c r="A412" s="4" t="s">
        <v>320</v>
      </c>
      <c r="B412" s="6" t="s">
        <v>321</v>
      </c>
      <c r="C412" s="6"/>
      <c r="D412" s="66"/>
      <c r="E412" s="98">
        <f>SUM(E416)+E445+E413</f>
        <v>1207318.0999999996</v>
      </c>
    </row>
    <row r="413" spans="1:5">
      <c r="A413" s="15" t="s">
        <v>9</v>
      </c>
      <c r="B413" s="12" t="s">
        <v>321</v>
      </c>
      <c r="C413" s="13" t="s">
        <v>47</v>
      </c>
      <c r="D413" s="59"/>
      <c r="E413" s="97">
        <f>E414</f>
        <v>23595.4</v>
      </c>
    </row>
    <row r="414" spans="1:5">
      <c r="A414" s="15" t="s">
        <v>24</v>
      </c>
      <c r="B414" s="12" t="s">
        <v>321</v>
      </c>
      <c r="C414" s="13" t="s">
        <v>64</v>
      </c>
      <c r="D414" s="59"/>
      <c r="E414" s="97">
        <f>E415</f>
        <v>23595.4</v>
      </c>
    </row>
    <row r="415" spans="1:5" ht="30">
      <c r="A415" s="15" t="s">
        <v>44</v>
      </c>
      <c r="B415" s="12" t="s">
        <v>321</v>
      </c>
      <c r="C415" s="13" t="s">
        <v>64</v>
      </c>
      <c r="D415" s="59">
        <v>600</v>
      </c>
      <c r="E415" s="97">
        <v>23595.4</v>
      </c>
    </row>
    <row r="416" spans="1:5" ht="30">
      <c r="A416" s="11" t="s">
        <v>300</v>
      </c>
      <c r="B416" s="12" t="s">
        <v>321</v>
      </c>
      <c r="C416" s="13" t="s">
        <v>301</v>
      </c>
      <c r="D416" s="16"/>
      <c r="E416" s="96">
        <f>SUM(E417+E438)</f>
        <v>1124982.4999999998</v>
      </c>
    </row>
    <row r="417" spans="1:5" ht="30">
      <c r="A417" s="17" t="s">
        <v>302</v>
      </c>
      <c r="B417" s="12" t="s">
        <v>321</v>
      </c>
      <c r="C417" s="13" t="s">
        <v>303</v>
      </c>
      <c r="D417" s="16"/>
      <c r="E417" s="96">
        <f>E418+E429</f>
        <v>1123530.0999999999</v>
      </c>
    </row>
    <row r="418" spans="1:5" ht="45">
      <c r="A418" s="20" t="s">
        <v>304</v>
      </c>
      <c r="B418" s="12" t="s">
        <v>321</v>
      </c>
      <c r="C418" s="13" t="s">
        <v>305</v>
      </c>
      <c r="D418" s="16"/>
      <c r="E418" s="96">
        <f>E419+E421+E423+E425+E427</f>
        <v>1023313.2</v>
      </c>
    </row>
    <row r="419" spans="1:5" ht="30">
      <c r="A419" s="20" t="s">
        <v>32</v>
      </c>
      <c r="B419" s="12" t="s">
        <v>321</v>
      </c>
      <c r="C419" s="13" t="s">
        <v>306</v>
      </c>
      <c r="D419" s="16"/>
      <c r="E419" s="96">
        <f>E420</f>
        <v>365048.49999999994</v>
      </c>
    </row>
    <row r="420" spans="1:5" ht="30">
      <c r="A420" s="11" t="s">
        <v>44</v>
      </c>
      <c r="B420" s="13" t="s">
        <v>321</v>
      </c>
      <c r="C420" s="13" t="s">
        <v>306</v>
      </c>
      <c r="D420" s="59">
        <v>600</v>
      </c>
      <c r="E420" s="97">
        <f>366523.8+3460.8-1124.9-115.3-412.2+193.1-3476.8</f>
        <v>365048.49999999994</v>
      </c>
    </row>
    <row r="421" spans="1:5" ht="45">
      <c r="A421" s="67" t="s">
        <v>322</v>
      </c>
      <c r="B421" s="13" t="s">
        <v>321</v>
      </c>
      <c r="C421" s="23" t="s">
        <v>323</v>
      </c>
      <c r="D421" s="68"/>
      <c r="E421" s="97">
        <f>E422</f>
        <v>9622.1</v>
      </c>
    </row>
    <row r="422" spans="1:5" ht="30">
      <c r="A422" s="15" t="s">
        <v>44</v>
      </c>
      <c r="B422" s="13" t="s">
        <v>321</v>
      </c>
      <c r="C422" s="23" t="s">
        <v>323</v>
      </c>
      <c r="D422" s="69">
        <v>600</v>
      </c>
      <c r="E422" s="97">
        <f>8305.1+1317</f>
        <v>9622.1</v>
      </c>
    </row>
    <row r="423" spans="1:5" ht="30" customHeight="1">
      <c r="A423" s="40" t="s">
        <v>615</v>
      </c>
      <c r="B423" s="13" t="s">
        <v>321</v>
      </c>
      <c r="C423" s="23" t="s">
        <v>324</v>
      </c>
      <c r="D423" s="68"/>
      <c r="E423" s="97">
        <v>480</v>
      </c>
    </row>
    <row r="424" spans="1:5" ht="30">
      <c r="A424" s="15" t="s">
        <v>44</v>
      </c>
      <c r="B424" s="13" t="s">
        <v>321</v>
      </c>
      <c r="C424" s="23" t="s">
        <v>324</v>
      </c>
      <c r="D424" s="69">
        <v>600</v>
      </c>
      <c r="E424" s="97">
        <v>480</v>
      </c>
    </row>
    <row r="425" spans="1:5" ht="45">
      <c r="A425" s="67" t="s">
        <v>325</v>
      </c>
      <c r="B425" s="13" t="s">
        <v>321</v>
      </c>
      <c r="C425" s="23" t="s">
        <v>326</v>
      </c>
      <c r="D425" s="68"/>
      <c r="E425" s="97">
        <f>E426</f>
        <v>7738.4</v>
      </c>
    </row>
    <row r="426" spans="1:5" ht="30">
      <c r="A426" s="15" t="s">
        <v>44</v>
      </c>
      <c r="B426" s="13" t="s">
        <v>321</v>
      </c>
      <c r="C426" s="23" t="s">
        <v>326</v>
      </c>
      <c r="D426" s="69">
        <v>600</v>
      </c>
      <c r="E426" s="97">
        <f>8495.3-756.9</f>
        <v>7738.4</v>
      </c>
    </row>
    <row r="427" spans="1:5" ht="120">
      <c r="A427" s="11" t="s">
        <v>327</v>
      </c>
      <c r="B427" s="12" t="s">
        <v>321</v>
      </c>
      <c r="C427" s="13" t="s">
        <v>328</v>
      </c>
      <c r="D427" s="13"/>
      <c r="E427" s="96">
        <f>E428</f>
        <v>640424.20000000007</v>
      </c>
    </row>
    <row r="428" spans="1:5" ht="30">
      <c r="A428" s="11" t="s">
        <v>44</v>
      </c>
      <c r="B428" s="13" t="s">
        <v>321</v>
      </c>
      <c r="C428" s="13" t="s">
        <v>328</v>
      </c>
      <c r="D428" s="13" t="s">
        <v>309</v>
      </c>
      <c r="E428" s="97">
        <f>630829.4+9594.8</f>
        <v>640424.20000000007</v>
      </c>
    </row>
    <row r="429" spans="1:5" ht="30">
      <c r="A429" s="15" t="s">
        <v>310</v>
      </c>
      <c r="B429" s="13" t="s">
        <v>321</v>
      </c>
      <c r="C429" s="13" t="s">
        <v>536</v>
      </c>
      <c r="D429" s="13"/>
      <c r="E429" s="97">
        <f>E430+E432+E434+E436</f>
        <v>100216.9</v>
      </c>
    </row>
    <row r="430" spans="1:5" ht="30">
      <c r="A430" s="49" t="s">
        <v>531</v>
      </c>
      <c r="B430" s="13" t="s">
        <v>321</v>
      </c>
      <c r="C430" s="13" t="s">
        <v>532</v>
      </c>
      <c r="D430" s="13"/>
      <c r="E430" s="97">
        <f>E431</f>
        <v>43916.899999999994</v>
      </c>
    </row>
    <row r="431" spans="1:5" ht="30">
      <c r="A431" s="15" t="s">
        <v>44</v>
      </c>
      <c r="B431" s="13" t="s">
        <v>321</v>
      </c>
      <c r="C431" s="13" t="s">
        <v>532</v>
      </c>
      <c r="D431" s="13" t="s">
        <v>309</v>
      </c>
      <c r="E431" s="97">
        <f>10792.6+2790+228.1+22500+7439+189.1-21.9</f>
        <v>43916.899999999994</v>
      </c>
    </row>
    <row r="432" spans="1:5" hidden="1">
      <c r="A432" s="15" t="s">
        <v>312</v>
      </c>
      <c r="B432" s="13" t="s">
        <v>321</v>
      </c>
      <c r="C432" s="44" t="s">
        <v>313</v>
      </c>
      <c r="D432" s="13"/>
      <c r="E432" s="97">
        <f>E433</f>
        <v>0</v>
      </c>
    </row>
    <row r="433" spans="1:5" ht="30" hidden="1">
      <c r="A433" s="83" t="s">
        <v>137</v>
      </c>
      <c r="B433" s="13" t="s">
        <v>321</v>
      </c>
      <c r="C433" s="44" t="s">
        <v>313</v>
      </c>
      <c r="D433" s="59">
        <v>400</v>
      </c>
      <c r="E433" s="94">
        <f>8636.4-8636.4</f>
        <v>0</v>
      </c>
    </row>
    <row r="434" spans="1:5" ht="30">
      <c r="A434" s="83" t="s">
        <v>550</v>
      </c>
      <c r="B434" s="13" t="s">
        <v>321</v>
      </c>
      <c r="C434" s="44" t="s">
        <v>551</v>
      </c>
      <c r="D434" s="59"/>
      <c r="E434" s="94">
        <f>E435</f>
        <v>36300</v>
      </c>
    </row>
    <row r="435" spans="1:5" ht="30">
      <c r="A435" s="83" t="s">
        <v>137</v>
      </c>
      <c r="B435" s="13" t="s">
        <v>321</v>
      </c>
      <c r="C435" s="44" t="s">
        <v>551</v>
      </c>
      <c r="D435" s="59">
        <v>400</v>
      </c>
      <c r="E435" s="94">
        <v>36300</v>
      </c>
    </row>
    <row r="436" spans="1:5">
      <c r="A436" s="83" t="s">
        <v>604</v>
      </c>
      <c r="B436" s="13" t="s">
        <v>321</v>
      </c>
      <c r="C436" s="44" t="s">
        <v>605</v>
      </c>
      <c r="D436" s="59"/>
      <c r="E436" s="94">
        <f>E437</f>
        <v>20000</v>
      </c>
    </row>
    <row r="437" spans="1:5" ht="30">
      <c r="A437" s="15" t="s">
        <v>44</v>
      </c>
      <c r="B437" s="13" t="s">
        <v>321</v>
      </c>
      <c r="C437" s="44" t="s">
        <v>605</v>
      </c>
      <c r="D437" s="59">
        <v>600</v>
      </c>
      <c r="E437" s="94">
        <v>20000</v>
      </c>
    </row>
    <row r="438" spans="1:5" ht="45">
      <c r="A438" s="70" t="s">
        <v>314</v>
      </c>
      <c r="B438" s="23" t="s">
        <v>321</v>
      </c>
      <c r="C438" s="23" t="s">
        <v>315</v>
      </c>
      <c r="D438" s="69"/>
      <c r="E438" s="99">
        <f>E439</f>
        <v>1452.3999999999999</v>
      </c>
    </row>
    <row r="439" spans="1:5" ht="30">
      <c r="A439" s="36" t="s">
        <v>316</v>
      </c>
      <c r="B439" s="23" t="s">
        <v>321</v>
      </c>
      <c r="C439" s="23" t="s">
        <v>317</v>
      </c>
      <c r="D439" s="69"/>
      <c r="E439" s="99">
        <f>E443+E440</f>
        <v>1452.3999999999999</v>
      </c>
    </row>
    <row r="440" spans="1:5" ht="30">
      <c r="A440" s="77" t="s">
        <v>491</v>
      </c>
      <c r="B440" s="23" t="s">
        <v>321</v>
      </c>
      <c r="C440" s="23" t="s">
        <v>492</v>
      </c>
      <c r="D440" s="69"/>
      <c r="E440" s="99">
        <f>E442+E441</f>
        <v>451.09999999999997</v>
      </c>
    </row>
    <row r="441" spans="1:5">
      <c r="A441" s="15" t="s">
        <v>37</v>
      </c>
      <c r="B441" s="23" t="s">
        <v>321</v>
      </c>
      <c r="C441" s="23" t="s">
        <v>492</v>
      </c>
      <c r="D441" s="69">
        <v>300</v>
      </c>
      <c r="E441" s="99">
        <f>19.5-4.5</f>
        <v>15</v>
      </c>
    </row>
    <row r="442" spans="1:5" ht="30">
      <c r="A442" s="11" t="s">
        <v>44</v>
      </c>
      <c r="B442" s="23" t="s">
        <v>321</v>
      </c>
      <c r="C442" s="23" t="s">
        <v>492</v>
      </c>
      <c r="D442" s="69">
        <v>600</v>
      </c>
      <c r="E442" s="99">
        <f>325.5+258.9-19.5-91.2-37.6</f>
        <v>436.09999999999997</v>
      </c>
    </row>
    <row r="443" spans="1:5" ht="30">
      <c r="A443" s="22" t="s">
        <v>318</v>
      </c>
      <c r="B443" s="23" t="s">
        <v>321</v>
      </c>
      <c r="C443" s="23" t="s">
        <v>319</v>
      </c>
      <c r="D443" s="69"/>
      <c r="E443" s="99">
        <f>E444</f>
        <v>1001.3</v>
      </c>
    </row>
    <row r="444" spans="1:5" ht="30">
      <c r="A444" s="15" t="s">
        <v>44</v>
      </c>
      <c r="B444" s="23" t="s">
        <v>321</v>
      </c>
      <c r="C444" s="23" t="s">
        <v>319</v>
      </c>
      <c r="D444" s="69">
        <v>600</v>
      </c>
      <c r="E444" s="99">
        <f>1101.1-55.5-44.3</f>
        <v>1001.3</v>
      </c>
    </row>
    <row r="445" spans="1:5" ht="30">
      <c r="A445" s="18" t="s">
        <v>329</v>
      </c>
      <c r="B445" s="12" t="s">
        <v>321</v>
      </c>
      <c r="C445" s="78" t="s">
        <v>330</v>
      </c>
      <c r="D445" s="13"/>
      <c r="E445" s="94">
        <f>E446</f>
        <v>58740.2</v>
      </c>
    </row>
    <row r="446" spans="1:5" ht="30">
      <c r="A446" s="11" t="s">
        <v>331</v>
      </c>
      <c r="B446" s="12" t="s">
        <v>321</v>
      </c>
      <c r="C446" s="13" t="s">
        <v>332</v>
      </c>
      <c r="D446" s="13"/>
      <c r="E446" s="94">
        <f>E447</f>
        <v>58740.2</v>
      </c>
    </row>
    <row r="447" spans="1:5" ht="30">
      <c r="A447" s="11" t="s">
        <v>333</v>
      </c>
      <c r="B447" s="12" t="s">
        <v>321</v>
      </c>
      <c r="C447" s="23" t="s">
        <v>334</v>
      </c>
      <c r="D447" s="13"/>
      <c r="E447" s="94">
        <f>E450+E448</f>
        <v>58740.2</v>
      </c>
    </row>
    <row r="448" spans="1:5" ht="30">
      <c r="A448" s="49" t="s">
        <v>542</v>
      </c>
      <c r="B448" s="12" t="s">
        <v>321</v>
      </c>
      <c r="C448" s="13" t="s">
        <v>537</v>
      </c>
      <c r="D448" s="13"/>
      <c r="E448" s="94">
        <f>E449</f>
        <v>1491.1</v>
      </c>
    </row>
    <row r="449" spans="1:5" ht="30">
      <c r="A449" s="15" t="s">
        <v>44</v>
      </c>
      <c r="B449" s="12" t="s">
        <v>321</v>
      </c>
      <c r="C449" s="13" t="s">
        <v>537</v>
      </c>
      <c r="D449" s="13" t="s">
        <v>309</v>
      </c>
      <c r="E449" s="94">
        <f>1500-8.9</f>
        <v>1491.1</v>
      </c>
    </row>
    <row r="450" spans="1:5" ht="30">
      <c r="A450" s="17" t="s">
        <v>32</v>
      </c>
      <c r="B450" s="12" t="s">
        <v>321</v>
      </c>
      <c r="C450" s="13" t="s">
        <v>335</v>
      </c>
      <c r="D450" s="13"/>
      <c r="E450" s="94">
        <f>E451</f>
        <v>57249.1</v>
      </c>
    </row>
    <row r="451" spans="1:5" ht="30">
      <c r="A451" s="11" t="s">
        <v>44</v>
      </c>
      <c r="B451" s="12" t="s">
        <v>321</v>
      </c>
      <c r="C451" s="13" t="s">
        <v>335</v>
      </c>
      <c r="D451" s="13" t="s">
        <v>309</v>
      </c>
      <c r="E451" s="94">
        <v>57249.1</v>
      </c>
    </row>
    <row r="452" spans="1:5">
      <c r="A452" s="4" t="s">
        <v>336</v>
      </c>
      <c r="B452" s="5" t="s">
        <v>337</v>
      </c>
      <c r="C452" s="6"/>
      <c r="D452" s="5"/>
      <c r="E452" s="93">
        <f>E453+E466</f>
        <v>25366.800000000003</v>
      </c>
    </row>
    <row r="453" spans="1:5" ht="30">
      <c r="A453" s="11" t="s">
        <v>300</v>
      </c>
      <c r="B453" s="12" t="s">
        <v>337</v>
      </c>
      <c r="C453" s="13" t="s">
        <v>301</v>
      </c>
      <c r="D453" s="16"/>
      <c r="E453" s="96">
        <f>SUM(E454)</f>
        <v>13722.2</v>
      </c>
    </row>
    <row r="454" spans="1:5">
      <c r="A454" s="20" t="s">
        <v>338</v>
      </c>
      <c r="B454" s="13" t="s">
        <v>337</v>
      </c>
      <c r="C454" s="13" t="s">
        <v>339</v>
      </c>
      <c r="D454" s="59"/>
      <c r="E454" s="97">
        <f>SUM(E455)</f>
        <v>13722.2</v>
      </c>
    </row>
    <row r="455" spans="1:5" ht="30">
      <c r="A455" s="36" t="s">
        <v>340</v>
      </c>
      <c r="B455" s="23" t="s">
        <v>337</v>
      </c>
      <c r="C455" s="23" t="s">
        <v>341</v>
      </c>
      <c r="D455" s="59"/>
      <c r="E455" s="97">
        <f>SUM(E456+E458+E462)</f>
        <v>13722.2</v>
      </c>
    </row>
    <row r="456" spans="1:5" ht="30">
      <c r="A456" s="20" t="s">
        <v>342</v>
      </c>
      <c r="B456" s="13" t="s">
        <v>337</v>
      </c>
      <c r="C456" s="13" t="s">
        <v>343</v>
      </c>
      <c r="D456" s="59"/>
      <c r="E456" s="97">
        <f>E457</f>
        <v>1000</v>
      </c>
    </row>
    <row r="457" spans="1:5" ht="30">
      <c r="A457" s="11" t="s">
        <v>44</v>
      </c>
      <c r="B457" s="12" t="s">
        <v>337</v>
      </c>
      <c r="C457" s="13" t="s">
        <v>343</v>
      </c>
      <c r="D457" s="16">
        <v>600</v>
      </c>
      <c r="E457" s="96">
        <v>1000</v>
      </c>
    </row>
    <row r="458" spans="1:5" ht="34.5" customHeight="1">
      <c r="A458" s="11" t="s">
        <v>344</v>
      </c>
      <c r="B458" s="12" t="s">
        <v>337</v>
      </c>
      <c r="C458" s="13" t="s">
        <v>345</v>
      </c>
      <c r="D458" s="16"/>
      <c r="E458" s="96">
        <f>E460+E461+E459</f>
        <v>5905.9</v>
      </c>
    </row>
    <row r="459" spans="1:5" ht="34.5" customHeight="1">
      <c r="A459" s="15" t="s">
        <v>54</v>
      </c>
      <c r="B459" s="12" t="s">
        <v>337</v>
      </c>
      <c r="C459" s="13" t="s">
        <v>345</v>
      </c>
      <c r="D459" s="16">
        <v>200</v>
      </c>
      <c r="E459" s="96">
        <v>5</v>
      </c>
    </row>
    <row r="460" spans="1:5">
      <c r="A460" s="11" t="s">
        <v>37</v>
      </c>
      <c r="B460" s="12" t="s">
        <v>337</v>
      </c>
      <c r="C460" s="13" t="s">
        <v>345</v>
      </c>
      <c r="D460" s="16">
        <v>300</v>
      </c>
      <c r="E460" s="96">
        <f>1272.5-321-58</f>
        <v>893.5</v>
      </c>
    </row>
    <row r="461" spans="1:5" ht="30">
      <c r="A461" s="11" t="s">
        <v>44</v>
      </c>
      <c r="B461" s="12" t="s">
        <v>337</v>
      </c>
      <c r="C461" s="13" t="s">
        <v>345</v>
      </c>
      <c r="D461" s="16">
        <v>600</v>
      </c>
      <c r="E461" s="96">
        <f>5000-300+316-8.6</f>
        <v>5007.3999999999996</v>
      </c>
    </row>
    <row r="462" spans="1:5" ht="75">
      <c r="A462" s="11" t="s">
        <v>346</v>
      </c>
      <c r="B462" s="12" t="s">
        <v>337</v>
      </c>
      <c r="C462" s="44" t="s">
        <v>347</v>
      </c>
      <c r="D462" s="16"/>
      <c r="E462" s="96">
        <f>SUM(E463:E465)</f>
        <v>6816.3</v>
      </c>
    </row>
    <row r="463" spans="1:5" ht="30">
      <c r="A463" s="11" t="s">
        <v>54</v>
      </c>
      <c r="B463" s="12" t="s">
        <v>337</v>
      </c>
      <c r="C463" s="44" t="s">
        <v>347</v>
      </c>
      <c r="D463" s="16">
        <v>200</v>
      </c>
      <c r="E463" s="96">
        <f>30-27</f>
        <v>3</v>
      </c>
    </row>
    <row r="464" spans="1:5">
      <c r="A464" s="11" t="s">
        <v>37</v>
      </c>
      <c r="B464" s="12" t="s">
        <v>337</v>
      </c>
      <c r="C464" s="44" t="s">
        <v>347</v>
      </c>
      <c r="D464" s="16">
        <v>300</v>
      </c>
      <c r="E464" s="96">
        <f>3600-2000-814.5</f>
        <v>785.5</v>
      </c>
    </row>
    <row r="465" spans="1:5" ht="30">
      <c r="A465" s="11" t="s">
        <v>44</v>
      </c>
      <c r="B465" s="12" t="s">
        <v>337</v>
      </c>
      <c r="C465" s="44" t="s">
        <v>347</v>
      </c>
      <c r="D465" s="16">
        <v>600</v>
      </c>
      <c r="E465" s="96">
        <f>6037.4+0.1-348.4+338.7</f>
        <v>6027.8</v>
      </c>
    </row>
    <row r="466" spans="1:5" ht="30">
      <c r="A466" s="11" t="s">
        <v>348</v>
      </c>
      <c r="B466" s="12" t="s">
        <v>337</v>
      </c>
      <c r="C466" s="13" t="s">
        <v>349</v>
      </c>
      <c r="D466" s="12"/>
      <c r="E466" s="94">
        <f>SUM(E467+E472)</f>
        <v>11644.6</v>
      </c>
    </row>
    <row r="467" spans="1:5" ht="30">
      <c r="A467" s="11" t="s">
        <v>350</v>
      </c>
      <c r="B467" s="12" t="s">
        <v>337</v>
      </c>
      <c r="C467" s="13" t="s">
        <v>351</v>
      </c>
      <c r="D467" s="16"/>
      <c r="E467" s="94">
        <f>E468+E470</f>
        <v>2230.5</v>
      </c>
    </row>
    <row r="468" spans="1:5">
      <c r="A468" s="15" t="s">
        <v>495</v>
      </c>
      <c r="B468" s="12" t="s">
        <v>337</v>
      </c>
      <c r="C468" s="13" t="s">
        <v>352</v>
      </c>
      <c r="D468" s="16"/>
      <c r="E468" s="94">
        <f>E469</f>
        <v>2058</v>
      </c>
    </row>
    <row r="469" spans="1:5" ht="30">
      <c r="A469" s="11" t="s">
        <v>54</v>
      </c>
      <c r="B469" s="12" t="s">
        <v>337</v>
      </c>
      <c r="C469" s="13" t="s">
        <v>352</v>
      </c>
      <c r="D469" s="16">
        <v>200</v>
      </c>
      <c r="E469" s="94">
        <f>2218-107.6-52.4</f>
        <v>2058</v>
      </c>
    </row>
    <row r="470" spans="1:5">
      <c r="A470" s="76" t="s">
        <v>353</v>
      </c>
      <c r="B470" s="12" t="s">
        <v>337</v>
      </c>
      <c r="C470" s="13" t="s">
        <v>354</v>
      </c>
      <c r="D470" s="16"/>
      <c r="E470" s="94">
        <v>172.5</v>
      </c>
    </row>
    <row r="471" spans="1:5">
      <c r="A471" s="11" t="s">
        <v>37</v>
      </c>
      <c r="B471" s="12" t="s">
        <v>337</v>
      </c>
      <c r="C471" s="13" t="s">
        <v>354</v>
      </c>
      <c r="D471" s="16">
        <v>300</v>
      </c>
      <c r="E471" s="94">
        <v>172.5</v>
      </c>
    </row>
    <row r="472" spans="1:5" ht="30">
      <c r="A472" s="11" t="s">
        <v>355</v>
      </c>
      <c r="B472" s="12" t="s">
        <v>337</v>
      </c>
      <c r="C472" s="13" t="s">
        <v>356</v>
      </c>
      <c r="D472" s="16"/>
      <c r="E472" s="94">
        <f>E473</f>
        <v>9414.1</v>
      </c>
    </row>
    <row r="473" spans="1:5" ht="30">
      <c r="A473" s="11" t="s">
        <v>38</v>
      </c>
      <c r="B473" s="12" t="s">
        <v>337</v>
      </c>
      <c r="C473" s="13" t="s">
        <v>357</v>
      </c>
      <c r="D473" s="16"/>
      <c r="E473" s="94">
        <f>E474</f>
        <v>9414.1</v>
      </c>
    </row>
    <row r="474" spans="1:5" ht="30">
      <c r="A474" s="11" t="s">
        <v>44</v>
      </c>
      <c r="B474" s="12" t="s">
        <v>337</v>
      </c>
      <c r="C474" s="13" t="s">
        <v>357</v>
      </c>
      <c r="D474" s="16">
        <v>600</v>
      </c>
      <c r="E474" s="94">
        <f>9306.5+107.6</f>
        <v>9414.1</v>
      </c>
    </row>
    <row r="475" spans="1:5">
      <c r="A475" s="4" t="s">
        <v>358</v>
      </c>
      <c r="B475" s="5" t="s">
        <v>359</v>
      </c>
      <c r="C475" s="45"/>
      <c r="D475" s="7"/>
      <c r="E475" s="95">
        <f>SUM(E476)</f>
        <v>71277.200000000012</v>
      </c>
    </row>
    <row r="476" spans="1:5" ht="30">
      <c r="A476" s="11" t="s">
        <v>300</v>
      </c>
      <c r="B476" s="13" t="s">
        <v>359</v>
      </c>
      <c r="C476" s="13" t="s">
        <v>301</v>
      </c>
      <c r="D476" s="59"/>
      <c r="E476" s="96">
        <f>SUM(E477+E482)</f>
        <v>71277.200000000012</v>
      </c>
    </row>
    <row r="477" spans="1:5">
      <c r="A477" s="20" t="s">
        <v>338</v>
      </c>
      <c r="B477" s="13" t="s">
        <v>359</v>
      </c>
      <c r="C477" s="23" t="s">
        <v>339</v>
      </c>
      <c r="D477" s="59"/>
      <c r="E477" s="96">
        <f>SUM(E478)</f>
        <v>6386.8</v>
      </c>
    </row>
    <row r="478" spans="1:5" ht="30">
      <c r="A478" s="42" t="s">
        <v>360</v>
      </c>
      <c r="B478" s="13" t="s">
        <v>359</v>
      </c>
      <c r="C478" s="23" t="s">
        <v>361</v>
      </c>
      <c r="D478" s="59"/>
      <c r="E478" s="96">
        <f>SUM(E479)</f>
        <v>6386.8</v>
      </c>
    </row>
    <row r="479" spans="1:5" ht="90">
      <c r="A479" s="11" t="s">
        <v>362</v>
      </c>
      <c r="B479" s="13" t="s">
        <v>359</v>
      </c>
      <c r="C479" s="23" t="s">
        <v>363</v>
      </c>
      <c r="D479" s="59"/>
      <c r="E479" s="97">
        <f>SUM(E480:E481)</f>
        <v>6386.8</v>
      </c>
    </row>
    <row r="480" spans="1:5" ht="60">
      <c r="A480" s="11" t="s">
        <v>11</v>
      </c>
      <c r="B480" s="13" t="s">
        <v>359</v>
      </c>
      <c r="C480" s="23" t="s">
        <v>363</v>
      </c>
      <c r="D480" s="69">
        <v>100</v>
      </c>
      <c r="E480" s="99">
        <f>5862.2+5.8</f>
        <v>5868</v>
      </c>
    </row>
    <row r="481" spans="1:5" ht="30">
      <c r="A481" s="11" t="s">
        <v>54</v>
      </c>
      <c r="B481" s="12" t="s">
        <v>359</v>
      </c>
      <c r="C481" s="23" t="s">
        <v>363</v>
      </c>
      <c r="D481" s="69">
        <v>200</v>
      </c>
      <c r="E481" s="99">
        <f>524.6-5.8</f>
        <v>518.80000000000007</v>
      </c>
    </row>
    <row r="482" spans="1:5" ht="45">
      <c r="A482" s="11" t="s">
        <v>364</v>
      </c>
      <c r="B482" s="12" t="s">
        <v>359</v>
      </c>
      <c r="C482" s="23" t="s">
        <v>315</v>
      </c>
      <c r="D482" s="16"/>
      <c r="E482" s="96">
        <f>SUM(E483)</f>
        <v>64890.400000000009</v>
      </c>
    </row>
    <row r="483" spans="1:5" ht="33.75" customHeight="1">
      <c r="A483" s="11" t="s">
        <v>365</v>
      </c>
      <c r="B483" s="12" t="s">
        <v>359</v>
      </c>
      <c r="C483" s="23" t="s">
        <v>366</v>
      </c>
      <c r="D483" s="16"/>
      <c r="E483" s="96">
        <f>SUM(E484+E488)</f>
        <v>64890.400000000009</v>
      </c>
    </row>
    <row r="484" spans="1:5" ht="30">
      <c r="A484" s="20" t="s">
        <v>23</v>
      </c>
      <c r="B484" s="12" t="s">
        <v>359</v>
      </c>
      <c r="C484" s="44" t="s">
        <v>367</v>
      </c>
      <c r="D484" s="16"/>
      <c r="E484" s="96">
        <f>SUM(E485:E487)</f>
        <v>20012.600000000002</v>
      </c>
    </row>
    <row r="485" spans="1:5" ht="60">
      <c r="A485" s="11" t="s">
        <v>11</v>
      </c>
      <c r="B485" s="12" t="s">
        <v>359</v>
      </c>
      <c r="C485" s="44" t="s">
        <v>367</v>
      </c>
      <c r="D485" s="16">
        <v>100</v>
      </c>
      <c r="E485" s="96">
        <f>18759+90+79.2</f>
        <v>18928.2</v>
      </c>
    </row>
    <row r="486" spans="1:5" ht="30">
      <c r="A486" s="11" t="s">
        <v>54</v>
      </c>
      <c r="B486" s="12" t="s">
        <v>359</v>
      </c>
      <c r="C486" s="44" t="s">
        <v>367</v>
      </c>
      <c r="D486" s="16">
        <v>200</v>
      </c>
      <c r="E486" s="96">
        <f>1331.4-90-79.2-87</f>
        <v>1075.2</v>
      </c>
    </row>
    <row r="487" spans="1:5">
      <c r="A487" s="18" t="s">
        <v>19</v>
      </c>
      <c r="B487" s="12" t="s">
        <v>359</v>
      </c>
      <c r="C487" s="44" t="s">
        <v>367</v>
      </c>
      <c r="D487" s="16">
        <v>800</v>
      </c>
      <c r="E487" s="96">
        <f>255.9-246-0.7</f>
        <v>9.2000000000000064</v>
      </c>
    </row>
    <row r="488" spans="1:5" ht="30">
      <c r="A488" s="17" t="s">
        <v>32</v>
      </c>
      <c r="B488" s="12" t="s">
        <v>359</v>
      </c>
      <c r="C488" s="44" t="s">
        <v>368</v>
      </c>
      <c r="D488" s="16"/>
      <c r="E488" s="96">
        <f>SUM(E489:E492)</f>
        <v>44877.8</v>
      </c>
    </row>
    <row r="489" spans="1:5" ht="60">
      <c r="A489" s="11" t="s">
        <v>11</v>
      </c>
      <c r="B489" s="12" t="s">
        <v>359</v>
      </c>
      <c r="C489" s="44" t="s">
        <v>368</v>
      </c>
      <c r="D489" s="16">
        <v>100</v>
      </c>
      <c r="E489" s="96">
        <f>36971.8+1124.9-52.2</f>
        <v>38044.500000000007</v>
      </c>
    </row>
    <row r="490" spans="1:5" ht="30">
      <c r="A490" s="11" t="s">
        <v>54</v>
      </c>
      <c r="B490" s="12" t="s">
        <v>359</v>
      </c>
      <c r="C490" s="44" t="s">
        <v>368</v>
      </c>
      <c r="D490" s="16">
        <v>200</v>
      </c>
      <c r="E490" s="96">
        <f>2332.4-188.3-1.6-42.4</f>
        <v>2100.1</v>
      </c>
    </row>
    <row r="491" spans="1:5">
      <c r="A491" s="18" t="s">
        <v>19</v>
      </c>
      <c r="B491" s="12" t="s">
        <v>359</v>
      </c>
      <c r="C491" s="44" t="s">
        <v>368</v>
      </c>
      <c r="D491" s="16">
        <v>800</v>
      </c>
      <c r="E491" s="96">
        <f>7.3+1.6-0.8</f>
        <v>8.1</v>
      </c>
    </row>
    <row r="492" spans="1:5" ht="30">
      <c r="A492" s="11" t="s">
        <v>44</v>
      </c>
      <c r="B492" s="12" t="s">
        <v>359</v>
      </c>
      <c r="C492" s="44" t="s">
        <v>368</v>
      </c>
      <c r="D492" s="16">
        <v>600</v>
      </c>
      <c r="E492" s="96">
        <f>4612.1+115.3-2.3</f>
        <v>4725.1000000000004</v>
      </c>
    </row>
    <row r="493" spans="1:5">
      <c r="A493" s="4" t="s">
        <v>369</v>
      </c>
      <c r="B493" s="5" t="s">
        <v>370</v>
      </c>
      <c r="C493" s="45"/>
      <c r="D493" s="7"/>
      <c r="E493" s="93">
        <f>SUM(E494+E510)</f>
        <v>152743.20000000001</v>
      </c>
    </row>
    <row r="494" spans="1:5">
      <c r="A494" s="4" t="s">
        <v>371</v>
      </c>
      <c r="B494" s="5" t="s">
        <v>372</v>
      </c>
      <c r="C494" s="6"/>
      <c r="D494" s="7"/>
      <c r="E494" s="93">
        <f>SUM(E495)</f>
        <v>130754.3</v>
      </c>
    </row>
    <row r="495" spans="1:5" ht="30">
      <c r="A495" s="18" t="s">
        <v>329</v>
      </c>
      <c r="B495" s="12" t="s">
        <v>372</v>
      </c>
      <c r="C495" s="78" t="s">
        <v>330</v>
      </c>
      <c r="D495" s="16"/>
      <c r="E495" s="94">
        <f>SUM(E496+E500)+E506</f>
        <v>130754.3</v>
      </c>
    </row>
    <row r="496" spans="1:5">
      <c r="A496" s="11" t="s">
        <v>373</v>
      </c>
      <c r="B496" s="12" t="s">
        <v>372</v>
      </c>
      <c r="C496" s="44" t="s">
        <v>374</v>
      </c>
      <c r="D496" s="16"/>
      <c r="E496" s="94">
        <f>E497</f>
        <v>26674.400000000001</v>
      </c>
    </row>
    <row r="497" spans="1:5">
      <c r="A497" s="11" t="s">
        <v>375</v>
      </c>
      <c r="B497" s="12" t="s">
        <v>372</v>
      </c>
      <c r="C497" s="44" t="s">
        <v>376</v>
      </c>
      <c r="D497" s="16"/>
      <c r="E497" s="94">
        <f>E498</f>
        <v>26674.400000000001</v>
      </c>
    </row>
    <row r="498" spans="1:5" ht="30">
      <c r="A498" s="17" t="s">
        <v>32</v>
      </c>
      <c r="B498" s="12" t="s">
        <v>372</v>
      </c>
      <c r="C498" s="44" t="s">
        <v>377</v>
      </c>
      <c r="D498" s="16"/>
      <c r="E498" s="94">
        <f>E499</f>
        <v>26674.400000000001</v>
      </c>
    </row>
    <row r="499" spans="1:5" ht="30">
      <c r="A499" s="11" t="s">
        <v>44</v>
      </c>
      <c r="B499" s="12" t="s">
        <v>372</v>
      </c>
      <c r="C499" s="44" t="s">
        <v>377</v>
      </c>
      <c r="D499" s="16">
        <v>600</v>
      </c>
      <c r="E499" s="94">
        <v>26674.400000000001</v>
      </c>
    </row>
    <row r="500" spans="1:5" ht="30">
      <c r="A500" s="11" t="s">
        <v>378</v>
      </c>
      <c r="B500" s="12" t="s">
        <v>372</v>
      </c>
      <c r="C500" s="44" t="s">
        <v>379</v>
      </c>
      <c r="D500" s="13"/>
      <c r="E500" s="94">
        <f>SUM(E501)</f>
        <v>103218.1</v>
      </c>
    </row>
    <row r="501" spans="1:5" ht="30">
      <c r="A501" s="11" t="s">
        <v>380</v>
      </c>
      <c r="B501" s="12" t="s">
        <v>372</v>
      </c>
      <c r="C501" s="44" t="s">
        <v>381</v>
      </c>
      <c r="D501" s="13"/>
      <c r="E501" s="94">
        <f>SUM(E504)+E502</f>
        <v>103218.1</v>
      </c>
    </row>
    <row r="502" spans="1:5" ht="30">
      <c r="A502" s="15" t="s">
        <v>563</v>
      </c>
      <c r="B502" s="12" t="s">
        <v>372</v>
      </c>
      <c r="C502" s="44" t="s">
        <v>564</v>
      </c>
      <c r="D502" s="13"/>
      <c r="E502" s="94">
        <f>E503</f>
        <v>500</v>
      </c>
    </row>
    <row r="503" spans="1:5" ht="30">
      <c r="A503" s="15" t="s">
        <v>44</v>
      </c>
      <c r="B503" s="12" t="s">
        <v>372</v>
      </c>
      <c r="C503" s="44" t="s">
        <v>564</v>
      </c>
      <c r="D503" s="13" t="s">
        <v>309</v>
      </c>
      <c r="E503" s="94">
        <v>500</v>
      </c>
    </row>
    <row r="504" spans="1:5" ht="30">
      <c r="A504" s="17" t="s">
        <v>32</v>
      </c>
      <c r="B504" s="12" t="s">
        <v>372</v>
      </c>
      <c r="C504" s="13" t="s">
        <v>382</v>
      </c>
      <c r="D504" s="13"/>
      <c r="E504" s="94">
        <f>SUM(E505)</f>
        <v>102718.1</v>
      </c>
    </row>
    <row r="505" spans="1:5" ht="30">
      <c r="A505" s="11" t="s">
        <v>44</v>
      </c>
      <c r="B505" s="12" t="s">
        <v>372</v>
      </c>
      <c r="C505" s="13" t="s">
        <v>382</v>
      </c>
      <c r="D505" s="16">
        <v>600</v>
      </c>
      <c r="E505" s="94">
        <f>101739.5+978.6+500-500</f>
        <v>102718.1</v>
      </c>
    </row>
    <row r="506" spans="1:5" ht="45">
      <c r="A506" s="15" t="s">
        <v>391</v>
      </c>
      <c r="B506" s="12" t="s">
        <v>372</v>
      </c>
      <c r="C506" s="13" t="s">
        <v>392</v>
      </c>
      <c r="D506" s="16"/>
      <c r="E506" s="94">
        <f>E507</f>
        <v>861.8</v>
      </c>
    </row>
    <row r="507" spans="1:5" ht="30">
      <c r="A507" s="15" t="s">
        <v>552</v>
      </c>
      <c r="B507" s="12" t="s">
        <v>372</v>
      </c>
      <c r="C507" s="13" t="s">
        <v>553</v>
      </c>
      <c r="D507" s="16"/>
      <c r="E507" s="94">
        <f>E508</f>
        <v>861.8</v>
      </c>
    </row>
    <row r="508" spans="1:5" ht="30">
      <c r="A508" s="15" t="s">
        <v>559</v>
      </c>
      <c r="B508" s="12" t="s">
        <v>372</v>
      </c>
      <c r="C508" s="13" t="s">
        <v>554</v>
      </c>
      <c r="D508" s="16"/>
      <c r="E508" s="94">
        <f>E509</f>
        <v>861.8</v>
      </c>
    </row>
    <row r="509" spans="1:5">
      <c r="A509" s="79" t="s">
        <v>19</v>
      </c>
      <c r="B509" s="12" t="s">
        <v>372</v>
      </c>
      <c r="C509" s="13" t="s">
        <v>554</v>
      </c>
      <c r="D509" s="16">
        <v>800</v>
      </c>
      <c r="E509" s="94">
        <v>861.8</v>
      </c>
    </row>
    <row r="510" spans="1:5">
      <c r="A510" s="4" t="s">
        <v>383</v>
      </c>
      <c r="B510" s="5" t="s">
        <v>384</v>
      </c>
      <c r="C510" s="6"/>
      <c r="D510" s="6"/>
      <c r="E510" s="93">
        <f>SUM(E511)</f>
        <v>21988.9</v>
      </c>
    </row>
    <row r="511" spans="1:5" ht="30">
      <c r="A511" s="18" t="s">
        <v>329</v>
      </c>
      <c r="B511" s="12" t="s">
        <v>384</v>
      </c>
      <c r="C511" s="78" t="s">
        <v>330</v>
      </c>
      <c r="D511" s="13"/>
      <c r="E511" s="94">
        <f>SUM(E513+E516)</f>
        <v>21988.9</v>
      </c>
    </row>
    <row r="512" spans="1:5">
      <c r="A512" s="46" t="s">
        <v>385</v>
      </c>
      <c r="B512" s="30" t="s">
        <v>384</v>
      </c>
      <c r="C512" s="30" t="s">
        <v>386</v>
      </c>
      <c r="D512" s="13"/>
      <c r="E512" s="94">
        <f>E513</f>
        <v>749.4</v>
      </c>
    </row>
    <row r="513" spans="1:5" ht="30">
      <c r="A513" s="46" t="s">
        <v>387</v>
      </c>
      <c r="B513" s="30" t="s">
        <v>384</v>
      </c>
      <c r="C513" s="30" t="s">
        <v>388</v>
      </c>
      <c r="D513" s="13"/>
      <c r="E513" s="94">
        <f>E514</f>
        <v>749.4</v>
      </c>
    </row>
    <row r="514" spans="1:5">
      <c r="A514" s="11" t="s">
        <v>389</v>
      </c>
      <c r="B514" s="30" t="s">
        <v>384</v>
      </c>
      <c r="C514" s="30" t="s">
        <v>390</v>
      </c>
      <c r="D514" s="30"/>
      <c r="E514" s="94">
        <f>E515</f>
        <v>749.4</v>
      </c>
    </row>
    <row r="515" spans="1:5" ht="30">
      <c r="A515" s="11" t="s">
        <v>54</v>
      </c>
      <c r="B515" s="30" t="s">
        <v>384</v>
      </c>
      <c r="C515" s="30" t="s">
        <v>390</v>
      </c>
      <c r="D515" s="13" t="s">
        <v>27</v>
      </c>
      <c r="E515" s="94">
        <f>749+15.9-15.5</f>
        <v>749.4</v>
      </c>
    </row>
    <row r="516" spans="1:5" ht="45">
      <c r="A516" s="11" t="s">
        <v>391</v>
      </c>
      <c r="B516" s="12" t="s">
        <v>384</v>
      </c>
      <c r="C516" s="13" t="s">
        <v>392</v>
      </c>
      <c r="D516" s="13"/>
      <c r="E516" s="94">
        <f>SUM(E517+E524)</f>
        <v>21239.5</v>
      </c>
    </row>
    <row r="517" spans="1:5">
      <c r="A517" s="11" t="s">
        <v>393</v>
      </c>
      <c r="B517" s="12" t="s">
        <v>384</v>
      </c>
      <c r="C517" s="13" t="s">
        <v>394</v>
      </c>
      <c r="D517" s="13"/>
      <c r="E517" s="94">
        <f>SUM(E518+E522)</f>
        <v>18439.5</v>
      </c>
    </row>
    <row r="518" spans="1:5" ht="30">
      <c r="A518" s="20" t="s">
        <v>23</v>
      </c>
      <c r="B518" s="12" t="s">
        <v>384</v>
      </c>
      <c r="C518" s="13" t="s">
        <v>395</v>
      </c>
      <c r="D518" s="13"/>
      <c r="E518" s="94">
        <f>SUM(E519:E521)</f>
        <v>6092.5</v>
      </c>
    </row>
    <row r="519" spans="1:5" ht="60">
      <c r="A519" s="11" t="s">
        <v>11</v>
      </c>
      <c r="B519" s="12" t="s">
        <v>384</v>
      </c>
      <c r="C519" s="13" t="s">
        <v>395</v>
      </c>
      <c r="D519" s="13" t="s">
        <v>26</v>
      </c>
      <c r="E519" s="94">
        <f>5550.7+12+58.5</f>
        <v>5621.2</v>
      </c>
    </row>
    <row r="520" spans="1:5" ht="30">
      <c r="A520" s="11" t="s">
        <v>54</v>
      </c>
      <c r="B520" s="12" t="s">
        <v>384</v>
      </c>
      <c r="C520" s="13" t="s">
        <v>395</v>
      </c>
      <c r="D520" s="13" t="s">
        <v>27</v>
      </c>
      <c r="E520" s="94">
        <f>324.5-12-15.9+173</f>
        <v>469.6</v>
      </c>
    </row>
    <row r="521" spans="1:5">
      <c r="A521" s="18" t="s">
        <v>19</v>
      </c>
      <c r="B521" s="12" t="s">
        <v>384</v>
      </c>
      <c r="C521" s="13" t="s">
        <v>395</v>
      </c>
      <c r="D521" s="13" t="s">
        <v>396</v>
      </c>
      <c r="E521" s="94">
        <v>1.7</v>
      </c>
    </row>
    <row r="522" spans="1:5" ht="30">
      <c r="A522" s="17" t="s">
        <v>32</v>
      </c>
      <c r="B522" s="12" t="s">
        <v>384</v>
      </c>
      <c r="C522" s="13" t="s">
        <v>397</v>
      </c>
      <c r="D522" s="13"/>
      <c r="E522" s="94">
        <f>E523</f>
        <v>12347</v>
      </c>
    </row>
    <row r="523" spans="1:5" ht="30">
      <c r="A523" s="11" t="s">
        <v>44</v>
      </c>
      <c r="B523" s="12" t="s">
        <v>384</v>
      </c>
      <c r="C523" s="13" t="s">
        <v>397</v>
      </c>
      <c r="D523" s="13" t="s">
        <v>309</v>
      </c>
      <c r="E523" s="94">
        <v>12347</v>
      </c>
    </row>
    <row r="524" spans="1:5" ht="30">
      <c r="A524" s="11" t="s">
        <v>398</v>
      </c>
      <c r="B524" s="12" t="s">
        <v>384</v>
      </c>
      <c r="C524" s="13" t="s">
        <v>399</v>
      </c>
      <c r="D524" s="13"/>
      <c r="E524" s="94">
        <f>E525</f>
        <v>2800</v>
      </c>
    </row>
    <row r="525" spans="1:5" ht="30">
      <c r="A525" s="79" t="s">
        <v>499</v>
      </c>
      <c r="B525" s="12" t="s">
        <v>384</v>
      </c>
      <c r="C525" s="13" t="s">
        <v>400</v>
      </c>
      <c r="D525" s="16"/>
      <c r="E525" s="94">
        <f>E526+E527</f>
        <v>2800</v>
      </c>
    </row>
    <row r="526" spans="1:5">
      <c r="A526" s="11" t="s">
        <v>37</v>
      </c>
      <c r="B526" s="12" t="s">
        <v>384</v>
      </c>
      <c r="C526" s="13" t="s">
        <v>400</v>
      </c>
      <c r="D526" s="16">
        <v>300</v>
      </c>
      <c r="E526" s="94">
        <f>516-216</f>
        <v>300</v>
      </c>
    </row>
    <row r="527" spans="1:5" ht="30">
      <c r="A527" s="11" t="s">
        <v>44</v>
      </c>
      <c r="B527" s="12" t="s">
        <v>384</v>
      </c>
      <c r="C527" s="13" t="s">
        <v>400</v>
      </c>
      <c r="D527" s="16">
        <v>600</v>
      </c>
      <c r="E527" s="94">
        <v>2500</v>
      </c>
    </row>
    <row r="528" spans="1:5">
      <c r="A528" s="4" t="s">
        <v>401</v>
      </c>
      <c r="B528" s="5" t="s">
        <v>402</v>
      </c>
      <c r="C528" s="6"/>
      <c r="D528" s="7"/>
      <c r="E528" s="93">
        <f>SUM(E529+E533)+E561</f>
        <v>226981.4</v>
      </c>
    </row>
    <row r="529" spans="1:5">
      <c r="A529" s="4" t="s">
        <v>403</v>
      </c>
      <c r="B529" s="5" t="s">
        <v>404</v>
      </c>
      <c r="C529" s="6"/>
      <c r="D529" s="7"/>
      <c r="E529" s="93">
        <f>E530</f>
        <v>8500</v>
      </c>
    </row>
    <row r="530" spans="1:5">
      <c r="A530" s="11" t="s">
        <v>9</v>
      </c>
      <c r="B530" s="12" t="s">
        <v>404</v>
      </c>
      <c r="C530" s="13" t="s">
        <v>47</v>
      </c>
      <c r="D530" s="16"/>
      <c r="E530" s="94">
        <f>E531</f>
        <v>8500</v>
      </c>
    </row>
    <row r="531" spans="1:5">
      <c r="A531" s="11" t="s">
        <v>405</v>
      </c>
      <c r="B531" s="12" t="s">
        <v>404</v>
      </c>
      <c r="C531" s="13" t="s">
        <v>406</v>
      </c>
      <c r="D531" s="16"/>
      <c r="E531" s="94">
        <f>E532</f>
        <v>8500</v>
      </c>
    </row>
    <row r="532" spans="1:5">
      <c r="A532" s="11" t="s">
        <v>37</v>
      </c>
      <c r="B532" s="12" t="s">
        <v>404</v>
      </c>
      <c r="C532" s="13" t="s">
        <v>406</v>
      </c>
      <c r="D532" s="16">
        <v>300</v>
      </c>
      <c r="E532" s="94">
        <f>8000+500</f>
        <v>8500</v>
      </c>
    </row>
    <row r="533" spans="1:5">
      <c r="A533" s="4" t="s">
        <v>407</v>
      </c>
      <c r="B533" s="5" t="s">
        <v>408</v>
      </c>
      <c r="C533" s="6"/>
      <c r="D533" s="7"/>
      <c r="E533" s="93">
        <f>SUM(E534)+E548</f>
        <v>16183.9</v>
      </c>
    </row>
    <row r="534" spans="1:5">
      <c r="A534" s="11" t="s">
        <v>9</v>
      </c>
      <c r="B534" s="12" t="s">
        <v>408</v>
      </c>
      <c r="C534" s="13" t="s">
        <v>47</v>
      </c>
      <c r="D534" s="16"/>
      <c r="E534" s="94">
        <f>SUM(E535+E537+E541+E543)+E539+E545</f>
        <v>10238</v>
      </c>
    </row>
    <row r="535" spans="1:5" ht="30">
      <c r="A535" s="11" t="s">
        <v>409</v>
      </c>
      <c r="B535" s="12" t="s">
        <v>408</v>
      </c>
      <c r="C535" s="13" t="s">
        <v>410</v>
      </c>
      <c r="D535" s="16"/>
      <c r="E535" s="94">
        <f>E536</f>
        <v>1214.4000000000001</v>
      </c>
    </row>
    <row r="536" spans="1:5">
      <c r="A536" s="11" t="s">
        <v>37</v>
      </c>
      <c r="B536" s="12" t="s">
        <v>408</v>
      </c>
      <c r="C536" s="13" t="s">
        <v>410</v>
      </c>
      <c r="D536" s="16">
        <v>300</v>
      </c>
      <c r="E536" s="94">
        <f>1236-21.6</f>
        <v>1214.4000000000001</v>
      </c>
    </row>
    <row r="537" spans="1:5" ht="30">
      <c r="A537" s="11" t="s">
        <v>411</v>
      </c>
      <c r="B537" s="12" t="s">
        <v>408</v>
      </c>
      <c r="C537" s="13" t="s">
        <v>412</v>
      </c>
      <c r="D537" s="16"/>
      <c r="E537" s="94">
        <f>E538</f>
        <v>2560.8000000000002</v>
      </c>
    </row>
    <row r="538" spans="1:5">
      <c r="A538" s="11" t="s">
        <v>37</v>
      </c>
      <c r="B538" s="12" t="s">
        <v>408</v>
      </c>
      <c r="C538" s="13" t="s">
        <v>412</v>
      </c>
      <c r="D538" s="16">
        <v>300</v>
      </c>
      <c r="E538" s="94">
        <f>2780.8-220</f>
        <v>2560.8000000000002</v>
      </c>
    </row>
    <row r="539" spans="1:5" ht="30">
      <c r="A539" s="17" t="s">
        <v>413</v>
      </c>
      <c r="B539" s="12" t="s">
        <v>408</v>
      </c>
      <c r="C539" s="13" t="s">
        <v>414</v>
      </c>
      <c r="D539" s="16"/>
      <c r="E539" s="94">
        <f>E540</f>
        <v>172.4</v>
      </c>
    </row>
    <row r="540" spans="1:5">
      <c r="A540" s="11" t="s">
        <v>37</v>
      </c>
      <c r="B540" s="12" t="s">
        <v>408</v>
      </c>
      <c r="C540" s="13" t="s">
        <v>414</v>
      </c>
      <c r="D540" s="16">
        <v>300</v>
      </c>
      <c r="E540" s="94">
        <f>287.5-115.1</f>
        <v>172.4</v>
      </c>
    </row>
    <row r="541" spans="1:5">
      <c r="A541" s="15" t="s">
        <v>415</v>
      </c>
      <c r="B541" s="12" t="s">
        <v>408</v>
      </c>
      <c r="C541" s="13" t="s">
        <v>416</v>
      </c>
      <c r="D541" s="16"/>
      <c r="E541" s="94">
        <f>E542</f>
        <v>1000</v>
      </c>
    </row>
    <row r="542" spans="1:5" ht="30">
      <c r="A542" s="11" t="s">
        <v>44</v>
      </c>
      <c r="B542" s="12" t="s">
        <v>408</v>
      </c>
      <c r="C542" s="13" t="s">
        <v>416</v>
      </c>
      <c r="D542" s="16">
        <v>600</v>
      </c>
      <c r="E542" s="94">
        <v>1000</v>
      </c>
    </row>
    <row r="543" spans="1:5">
      <c r="A543" s="11" t="s">
        <v>417</v>
      </c>
      <c r="B543" s="12" t="s">
        <v>408</v>
      </c>
      <c r="C543" s="13" t="s">
        <v>418</v>
      </c>
      <c r="D543" s="16"/>
      <c r="E543" s="94">
        <f>E544</f>
        <v>1500</v>
      </c>
    </row>
    <row r="544" spans="1:5" ht="30">
      <c r="A544" s="11" t="s">
        <v>44</v>
      </c>
      <c r="B544" s="12" t="s">
        <v>408</v>
      </c>
      <c r="C544" s="13" t="s">
        <v>418</v>
      </c>
      <c r="D544" s="16">
        <v>600</v>
      </c>
      <c r="E544" s="94">
        <v>1500</v>
      </c>
    </row>
    <row r="545" spans="1:5">
      <c r="A545" s="18" t="s">
        <v>25</v>
      </c>
      <c r="B545" s="12" t="s">
        <v>408</v>
      </c>
      <c r="C545" s="13" t="s">
        <v>57</v>
      </c>
      <c r="D545" s="16"/>
      <c r="E545" s="94">
        <f>E546</f>
        <v>3790.3999999999996</v>
      </c>
    </row>
    <row r="546" spans="1:5" ht="135">
      <c r="A546" s="11" t="s">
        <v>590</v>
      </c>
      <c r="B546" s="12" t="s">
        <v>408</v>
      </c>
      <c r="C546" s="13" t="s">
        <v>549</v>
      </c>
      <c r="D546" s="16"/>
      <c r="E546" s="94">
        <f>E547</f>
        <v>3790.3999999999996</v>
      </c>
    </row>
    <row r="547" spans="1:5">
      <c r="A547" s="26" t="s">
        <v>426</v>
      </c>
      <c r="B547" s="12" t="s">
        <v>408</v>
      </c>
      <c r="C547" s="13" t="s">
        <v>549</v>
      </c>
      <c r="D547" s="16">
        <v>300</v>
      </c>
      <c r="E547" s="94">
        <f>1886.3+1904.1</f>
        <v>3790.3999999999996</v>
      </c>
    </row>
    <row r="548" spans="1:5" ht="30">
      <c r="A548" s="40" t="s">
        <v>587</v>
      </c>
      <c r="B548" s="23" t="s">
        <v>408</v>
      </c>
      <c r="C548" s="23" t="s">
        <v>70</v>
      </c>
      <c r="D548" s="25"/>
      <c r="E548" s="94">
        <f>SUM(E553+E549)</f>
        <v>5945.9</v>
      </c>
    </row>
    <row r="549" spans="1:5" ht="30">
      <c r="A549" s="22" t="s">
        <v>419</v>
      </c>
      <c r="B549" s="23" t="s">
        <v>408</v>
      </c>
      <c r="C549" s="23" t="s">
        <v>420</v>
      </c>
      <c r="D549" s="25"/>
      <c r="E549" s="94">
        <f>SUM(E550)</f>
        <v>513.6</v>
      </c>
    </row>
    <row r="550" spans="1:5" ht="30">
      <c r="A550" s="22" t="s">
        <v>421</v>
      </c>
      <c r="B550" s="23" t="s">
        <v>408</v>
      </c>
      <c r="C550" s="23" t="s">
        <v>422</v>
      </c>
      <c r="D550" s="25"/>
      <c r="E550" s="94">
        <f>SUM(E551)</f>
        <v>513.6</v>
      </c>
    </row>
    <row r="551" spans="1:5" ht="45">
      <c r="A551" s="22" t="s">
        <v>423</v>
      </c>
      <c r="B551" s="23" t="s">
        <v>424</v>
      </c>
      <c r="C551" s="23" t="s">
        <v>425</v>
      </c>
      <c r="D551" s="25"/>
      <c r="E551" s="94">
        <f>SUM(E552)</f>
        <v>513.6</v>
      </c>
    </row>
    <row r="552" spans="1:5">
      <c r="A552" s="26" t="s">
        <v>426</v>
      </c>
      <c r="B552" s="23" t="s">
        <v>424</v>
      </c>
      <c r="C552" s="23" t="s">
        <v>425</v>
      </c>
      <c r="D552" s="25">
        <v>300</v>
      </c>
      <c r="E552" s="94">
        <f>393.6+120</f>
        <v>513.6</v>
      </c>
    </row>
    <row r="553" spans="1:5">
      <c r="A553" s="22" t="s">
        <v>427</v>
      </c>
      <c r="B553" s="23" t="s">
        <v>408</v>
      </c>
      <c r="C553" s="23" t="s">
        <v>428</v>
      </c>
      <c r="D553" s="25"/>
      <c r="E553" s="94">
        <f>SUM(E554)</f>
        <v>5432.2999999999993</v>
      </c>
    </row>
    <row r="554" spans="1:5" ht="30">
      <c r="A554" s="22" t="s">
        <v>429</v>
      </c>
      <c r="B554" s="23" t="s">
        <v>408</v>
      </c>
      <c r="C554" s="23" t="s">
        <v>430</v>
      </c>
      <c r="D554" s="25"/>
      <c r="E554" s="94">
        <f>SUM(E557)+E559+E555</f>
        <v>5432.2999999999993</v>
      </c>
    </row>
    <row r="555" spans="1:5" ht="120">
      <c r="A555" s="49" t="s">
        <v>576</v>
      </c>
      <c r="B555" s="23" t="s">
        <v>408</v>
      </c>
      <c r="C555" s="25" t="s">
        <v>578</v>
      </c>
      <c r="D555" s="25"/>
      <c r="E555" s="94">
        <f>E556</f>
        <v>2461.1</v>
      </c>
    </row>
    <row r="556" spans="1:5">
      <c r="A556" s="37" t="s">
        <v>426</v>
      </c>
      <c r="B556" s="23" t="s">
        <v>408</v>
      </c>
      <c r="C556" s="25" t="s">
        <v>578</v>
      </c>
      <c r="D556" s="25">
        <v>300</v>
      </c>
      <c r="E556" s="94">
        <v>2461.1</v>
      </c>
    </row>
    <row r="557" spans="1:5" ht="30">
      <c r="A557" s="22" t="s">
        <v>431</v>
      </c>
      <c r="B557" s="23" t="s">
        <v>408</v>
      </c>
      <c r="C557" s="23" t="s">
        <v>493</v>
      </c>
      <c r="D557" s="25"/>
      <c r="E557" s="94">
        <f>SUM(E558)</f>
        <v>1433.6</v>
      </c>
    </row>
    <row r="558" spans="1:5">
      <c r="A558" s="26" t="s">
        <v>426</v>
      </c>
      <c r="B558" s="23" t="s">
        <v>408</v>
      </c>
      <c r="C558" s="23" t="s">
        <v>493</v>
      </c>
      <c r="D558" s="25">
        <v>300</v>
      </c>
      <c r="E558" s="94">
        <f>500+1033.6-100</f>
        <v>1433.6</v>
      </c>
    </row>
    <row r="559" spans="1:5" ht="120">
      <c r="A559" s="49" t="s">
        <v>576</v>
      </c>
      <c r="B559" s="23" t="s">
        <v>408</v>
      </c>
      <c r="C559" s="25" t="s">
        <v>577</v>
      </c>
      <c r="D559" s="25"/>
      <c r="E559" s="94">
        <f>E560</f>
        <v>1537.6</v>
      </c>
    </row>
    <row r="560" spans="1:5">
      <c r="A560" s="37" t="s">
        <v>426</v>
      </c>
      <c r="B560" s="23" t="s">
        <v>408</v>
      </c>
      <c r="C560" s="25" t="s">
        <v>577</v>
      </c>
      <c r="D560" s="25">
        <v>300</v>
      </c>
      <c r="E560" s="94">
        <v>1537.6</v>
      </c>
    </row>
    <row r="561" spans="1:5">
      <c r="A561" s="31" t="s">
        <v>432</v>
      </c>
      <c r="B561" s="32" t="s">
        <v>433</v>
      </c>
      <c r="C561" s="32"/>
      <c r="D561" s="32"/>
      <c r="E561" s="93">
        <f>E562+E568</f>
        <v>202297.5</v>
      </c>
    </row>
    <row r="562" spans="1:5">
      <c r="A562" s="11" t="s">
        <v>9</v>
      </c>
      <c r="B562" s="23" t="s">
        <v>433</v>
      </c>
      <c r="C562" s="13" t="s">
        <v>47</v>
      </c>
      <c r="D562" s="23"/>
      <c r="E562" s="94">
        <f>SUM(E563)</f>
        <v>74510.2</v>
      </c>
    </row>
    <row r="563" spans="1:5">
      <c r="A563" s="18" t="s">
        <v>25</v>
      </c>
      <c r="B563" s="23" t="s">
        <v>433</v>
      </c>
      <c r="C563" s="13" t="s">
        <v>57</v>
      </c>
      <c r="D563" s="23"/>
      <c r="E563" s="94">
        <f>SUM(E566)+E564</f>
        <v>74510.2</v>
      </c>
    </row>
    <row r="564" spans="1:5" ht="123" customHeight="1">
      <c r="A564" s="81" t="s">
        <v>434</v>
      </c>
      <c r="B564" s="23" t="s">
        <v>433</v>
      </c>
      <c r="C564" s="13" t="s">
        <v>543</v>
      </c>
      <c r="D564" s="23"/>
      <c r="E564" s="94">
        <f>E565</f>
        <v>46258.400000000001</v>
      </c>
    </row>
    <row r="565" spans="1:5" ht="30">
      <c r="A565" s="37" t="s">
        <v>137</v>
      </c>
      <c r="B565" s="23" t="s">
        <v>433</v>
      </c>
      <c r="C565" s="13" t="s">
        <v>543</v>
      </c>
      <c r="D565" s="23" t="s">
        <v>436</v>
      </c>
      <c r="E565" s="94">
        <f>44649+1609.4</f>
        <v>46258.400000000001</v>
      </c>
    </row>
    <row r="566" spans="1:5" ht="127.5" customHeight="1">
      <c r="A566" s="36" t="s">
        <v>434</v>
      </c>
      <c r="B566" s="23" t="s">
        <v>433</v>
      </c>
      <c r="C566" s="13" t="s">
        <v>435</v>
      </c>
      <c r="D566" s="23"/>
      <c r="E566" s="94">
        <f>SUM(E567)</f>
        <v>28251.8</v>
      </c>
    </row>
    <row r="567" spans="1:5" ht="30">
      <c r="A567" s="26" t="s">
        <v>137</v>
      </c>
      <c r="B567" s="23" t="s">
        <v>433</v>
      </c>
      <c r="C567" s="13" t="s">
        <v>435</v>
      </c>
      <c r="D567" s="23" t="s">
        <v>436</v>
      </c>
      <c r="E567" s="94">
        <f>27060+1191.8</f>
        <v>28251.8</v>
      </c>
    </row>
    <row r="568" spans="1:5" ht="30">
      <c r="A568" s="11" t="s">
        <v>300</v>
      </c>
      <c r="B568" s="12" t="s">
        <v>433</v>
      </c>
      <c r="C568" s="13" t="s">
        <v>301</v>
      </c>
      <c r="D568" s="12"/>
      <c r="E568" s="96">
        <f>SUM(E569+E573)</f>
        <v>127787.30000000002</v>
      </c>
    </row>
    <row r="569" spans="1:5" ht="30">
      <c r="A569" s="17" t="s">
        <v>302</v>
      </c>
      <c r="B569" s="12" t="s">
        <v>433</v>
      </c>
      <c r="C569" s="13" t="s">
        <v>303</v>
      </c>
      <c r="D569" s="12"/>
      <c r="E569" s="96">
        <f>E570</f>
        <v>75559.100000000006</v>
      </c>
    </row>
    <row r="570" spans="1:5" ht="45">
      <c r="A570" s="17" t="s">
        <v>304</v>
      </c>
      <c r="B570" s="12" t="s">
        <v>433</v>
      </c>
      <c r="C570" s="13" t="s">
        <v>305</v>
      </c>
      <c r="D570" s="12"/>
      <c r="E570" s="96">
        <f>E571</f>
        <v>75559.100000000006</v>
      </c>
    </row>
    <row r="571" spans="1:5" ht="90">
      <c r="A571" s="58" t="s">
        <v>437</v>
      </c>
      <c r="B571" s="12" t="s">
        <v>433</v>
      </c>
      <c r="C571" s="13" t="s">
        <v>438</v>
      </c>
      <c r="D571" s="16"/>
      <c r="E571" s="96">
        <f>E572</f>
        <v>75559.100000000006</v>
      </c>
    </row>
    <row r="572" spans="1:5" ht="30">
      <c r="A572" s="11" t="s">
        <v>44</v>
      </c>
      <c r="B572" s="12" t="s">
        <v>433</v>
      </c>
      <c r="C572" s="13" t="s">
        <v>438</v>
      </c>
      <c r="D572" s="16">
        <v>600</v>
      </c>
      <c r="E572" s="96">
        <f>54659.8+20899.3</f>
        <v>75559.100000000006</v>
      </c>
    </row>
    <row r="573" spans="1:5">
      <c r="A573" s="17" t="s">
        <v>338</v>
      </c>
      <c r="B573" s="12" t="s">
        <v>433</v>
      </c>
      <c r="C573" s="13" t="s">
        <v>339</v>
      </c>
      <c r="D573" s="12"/>
      <c r="E573" s="96">
        <f>SUM(E574+E578+E581)</f>
        <v>52228.200000000012</v>
      </c>
    </row>
    <row r="574" spans="1:5" ht="30">
      <c r="A574" s="42" t="s">
        <v>360</v>
      </c>
      <c r="B574" s="12" t="s">
        <v>433</v>
      </c>
      <c r="C574" s="13" t="s">
        <v>361</v>
      </c>
      <c r="D574" s="12"/>
      <c r="E574" s="96">
        <f>E575</f>
        <v>120.30000000000001</v>
      </c>
    </row>
    <row r="575" spans="1:5" ht="90">
      <c r="A575" s="71" t="s">
        <v>439</v>
      </c>
      <c r="B575" s="12" t="s">
        <v>433</v>
      </c>
      <c r="C575" s="13" t="s">
        <v>440</v>
      </c>
      <c r="D575" s="16"/>
      <c r="E575" s="96">
        <f>SUM(E576:E577)</f>
        <v>120.30000000000001</v>
      </c>
    </row>
    <row r="576" spans="1:5" ht="30">
      <c r="A576" s="11" t="s">
        <v>54</v>
      </c>
      <c r="B576" s="12" t="s">
        <v>433</v>
      </c>
      <c r="C576" s="13" t="s">
        <v>440</v>
      </c>
      <c r="D576" s="16">
        <v>200</v>
      </c>
      <c r="E576" s="96">
        <f>5-3.9</f>
        <v>1.1000000000000001</v>
      </c>
    </row>
    <row r="577" spans="1:5">
      <c r="A577" s="11" t="s">
        <v>37</v>
      </c>
      <c r="B577" s="12" t="s">
        <v>433</v>
      </c>
      <c r="C577" s="13" t="s">
        <v>440</v>
      </c>
      <c r="D577" s="16">
        <v>300</v>
      </c>
      <c r="E577" s="96">
        <f>296.1-176.9</f>
        <v>119.20000000000002</v>
      </c>
    </row>
    <row r="578" spans="1:5" ht="90">
      <c r="A578" s="71" t="s">
        <v>441</v>
      </c>
      <c r="B578" s="12" t="s">
        <v>433</v>
      </c>
      <c r="C578" s="13" t="s">
        <v>442</v>
      </c>
      <c r="D578" s="16"/>
      <c r="E578" s="96">
        <f>SUM(E579:E580)</f>
        <v>47540.500000000007</v>
      </c>
    </row>
    <row r="579" spans="1:5" ht="30">
      <c r="A579" s="11" t="s">
        <v>54</v>
      </c>
      <c r="B579" s="12" t="s">
        <v>433</v>
      </c>
      <c r="C579" s="13" t="s">
        <v>442</v>
      </c>
      <c r="D579" s="16">
        <v>200</v>
      </c>
      <c r="E579" s="96">
        <f>3100+3432.8+425.1</f>
        <v>6957.9000000000005</v>
      </c>
    </row>
    <row r="580" spans="1:5" ht="23.25" customHeight="1">
      <c r="A580" s="11" t="s">
        <v>37</v>
      </c>
      <c r="B580" s="12" t="s">
        <v>433</v>
      </c>
      <c r="C580" s="13" t="s">
        <v>442</v>
      </c>
      <c r="D580" s="16">
        <v>300</v>
      </c>
      <c r="E580" s="96">
        <f>35592.8-3432.8+8422.6</f>
        <v>40582.600000000006</v>
      </c>
    </row>
    <row r="581" spans="1:5" ht="78" customHeight="1">
      <c r="A581" s="71" t="s">
        <v>443</v>
      </c>
      <c r="B581" s="12" t="s">
        <v>433</v>
      </c>
      <c r="C581" s="13" t="s">
        <v>444</v>
      </c>
      <c r="D581" s="16"/>
      <c r="E581" s="96">
        <f>SUM(E582:E583)</f>
        <v>4567.3999999999996</v>
      </c>
    </row>
    <row r="582" spans="1:5" ht="30">
      <c r="A582" s="11" t="s">
        <v>54</v>
      </c>
      <c r="B582" s="12" t="s">
        <v>433</v>
      </c>
      <c r="C582" s="13" t="s">
        <v>444</v>
      </c>
      <c r="D582" s="16">
        <v>200</v>
      </c>
      <c r="E582" s="96">
        <f>20+6.9</f>
        <v>26.9</v>
      </c>
    </row>
    <row r="583" spans="1:5">
      <c r="A583" s="11" t="s">
        <v>37</v>
      </c>
      <c r="B583" s="12" t="s">
        <v>433</v>
      </c>
      <c r="C583" s="13" t="s">
        <v>444</v>
      </c>
      <c r="D583" s="16">
        <v>300</v>
      </c>
      <c r="E583" s="96">
        <f>3657+883.5</f>
        <v>4540.5</v>
      </c>
    </row>
    <row r="584" spans="1:5">
      <c r="A584" s="4" t="s">
        <v>445</v>
      </c>
      <c r="B584" s="5" t="s">
        <v>446</v>
      </c>
      <c r="C584" s="6"/>
      <c r="D584" s="7"/>
      <c r="E584" s="93">
        <f>SUM(E585+E593)</f>
        <v>32197.699999999997</v>
      </c>
    </row>
    <row r="585" spans="1:5">
      <c r="A585" s="4" t="s">
        <v>447</v>
      </c>
      <c r="B585" s="5" t="s">
        <v>448</v>
      </c>
      <c r="C585" s="6"/>
      <c r="D585" s="7"/>
      <c r="E585" s="93">
        <f>E586</f>
        <v>21533</v>
      </c>
    </row>
    <row r="586" spans="1:5" ht="30">
      <c r="A586" s="11" t="s">
        <v>449</v>
      </c>
      <c r="B586" s="12" t="s">
        <v>448</v>
      </c>
      <c r="C586" s="13" t="s">
        <v>450</v>
      </c>
      <c r="D586" s="16"/>
      <c r="E586" s="94">
        <f>E587+E590</f>
        <v>21533</v>
      </c>
    </row>
    <row r="587" spans="1:5" ht="30">
      <c r="A587" s="11" t="s">
        <v>451</v>
      </c>
      <c r="B587" s="12" t="s">
        <v>448</v>
      </c>
      <c r="C587" s="13" t="s">
        <v>452</v>
      </c>
      <c r="D587" s="16"/>
      <c r="E587" s="94">
        <f>E588</f>
        <v>20903</v>
      </c>
    </row>
    <row r="588" spans="1:5" ht="30">
      <c r="A588" s="11" t="s">
        <v>38</v>
      </c>
      <c r="B588" s="12" t="s">
        <v>448</v>
      </c>
      <c r="C588" s="13" t="s">
        <v>453</v>
      </c>
      <c r="D588" s="16"/>
      <c r="E588" s="94">
        <f>E589</f>
        <v>20903</v>
      </c>
    </row>
    <row r="589" spans="1:5" ht="30">
      <c r="A589" s="11" t="s">
        <v>44</v>
      </c>
      <c r="B589" s="12" t="s">
        <v>448</v>
      </c>
      <c r="C589" s="13" t="s">
        <v>453</v>
      </c>
      <c r="D589" s="16">
        <v>600</v>
      </c>
      <c r="E589" s="94">
        <f>19928+975</f>
        <v>20903</v>
      </c>
    </row>
    <row r="590" spans="1:5" ht="30">
      <c r="A590" s="79" t="s">
        <v>460</v>
      </c>
      <c r="B590" s="12" t="s">
        <v>448</v>
      </c>
      <c r="C590" s="13" t="s">
        <v>461</v>
      </c>
      <c r="D590" s="16"/>
      <c r="E590" s="94">
        <f>E591</f>
        <v>630</v>
      </c>
    </row>
    <row r="591" spans="1:5" ht="30">
      <c r="A591" s="79" t="s">
        <v>597</v>
      </c>
      <c r="B591" s="12" t="s">
        <v>448</v>
      </c>
      <c r="C591" s="13" t="s">
        <v>598</v>
      </c>
      <c r="D591" s="16"/>
      <c r="E591" s="94">
        <f>E592</f>
        <v>630</v>
      </c>
    </row>
    <row r="592" spans="1:5" ht="30">
      <c r="A592" s="15" t="s">
        <v>44</v>
      </c>
      <c r="B592" s="12" t="s">
        <v>448</v>
      </c>
      <c r="C592" s="13" t="s">
        <v>598</v>
      </c>
      <c r="D592" s="16">
        <v>600</v>
      </c>
      <c r="E592" s="94">
        <v>630</v>
      </c>
    </row>
    <row r="593" spans="1:5">
      <c r="A593" s="4" t="s">
        <v>454</v>
      </c>
      <c r="B593" s="5" t="s">
        <v>455</v>
      </c>
      <c r="C593" s="6"/>
      <c r="D593" s="7"/>
      <c r="E593" s="93">
        <f>SUM(E594)</f>
        <v>10664.699999999999</v>
      </c>
    </row>
    <row r="594" spans="1:5" ht="30">
      <c r="A594" s="11" t="s">
        <v>449</v>
      </c>
      <c r="B594" s="12" t="s">
        <v>455</v>
      </c>
      <c r="C594" s="13" t="s">
        <v>450</v>
      </c>
      <c r="D594" s="16"/>
      <c r="E594" s="94">
        <f>SUM(E595+E598)</f>
        <v>10664.699999999999</v>
      </c>
    </row>
    <row r="595" spans="1:5" ht="30">
      <c r="A595" s="15" t="s">
        <v>456</v>
      </c>
      <c r="B595" s="12" t="s">
        <v>455</v>
      </c>
      <c r="C595" s="13" t="s">
        <v>457</v>
      </c>
      <c r="D595" s="16"/>
      <c r="E595" s="94">
        <f>E596</f>
        <v>738.9</v>
      </c>
    </row>
    <row r="596" spans="1:5" ht="30">
      <c r="A596" s="11" t="s">
        <v>458</v>
      </c>
      <c r="B596" s="12" t="s">
        <v>455</v>
      </c>
      <c r="C596" s="13" t="s">
        <v>459</v>
      </c>
      <c r="D596" s="16"/>
      <c r="E596" s="94">
        <f>E597</f>
        <v>738.9</v>
      </c>
    </row>
    <row r="597" spans="1:5" ht="30">
      <c r="A597" s="11" t="s">
        <v>54</v>
      </c>
      <c r="B597" s="12" t="s">
        <v>455</v>
      </c>
      <c r="C597" s="13" t="s">
        <v>459</v>
      </c>
      <c r="D597" s="16">
        <v>200</v>
      </c>
      <c r="E597" s="94">
        <f>769.6-30.7</f>
        <v>738.9</v>
      </c>
    </row>
    <row r="598" spans="1:5" ht="30" customHeight="1">
      <c r="A598" s="17" t="s">
        <v>460</v>
      </c>
      <c r="B598" s="12" t="s">
        <v>455</v>
      </c>
      <c r="C598" s="13" t="s">
        <v>461</v>
      </c>
      <c r="D598" s="16"/>
      <c r="E598" s="94">
        <f>SUM(E599+E601+E603+E605)</f>
        <v>9925.7999999999993</v>
      </c>
    </row>
    <row r="599" spans="1:5" ht="30">
      <c r="A599" s="11" t="s">
        <v>462</v>
      </c>
      <c r="B599" s="12" t="s">
        <v>455</v>
      </c>
      <c r="C599" s="13" t="s">
        <v>463</v>
      </c>
      <c r="D599" s="16"/>
      <c r="E599" s="94">
        <f>E600</f>
        <v>5800.5</v>
      </c>
    </row>
    <row r="600" spans="1:5" ht="30">
      <c r="A600" s="11" t="s">
        <v>54</v>
      </c>
      <c r="B600" s="12" t="s">
        <v>455</v>
      </c>
      <c r="C600" s="13" t="s">
        <v>463</v>
      </c>
      <c r="D600" s="16">
        <v>200</v>
      </c>
      <c r="E600" s="94">
        <f>5937.2+52.7+0.6-190</f>
        <v>5800.5</v>
      </c>
    </row>
    <row r="601" spans="1:5" ht="30">
      <c r="A601" s="49" t="s">
        <v>464</v>
      </c>
      <c r="B601" s="12" t="s">
        <v>455</v>
      </c>
      <c r="C601" s="13" t="s">
        <v>465</v>
      </c>
      <c r="D601" s="16"/>
      <c r="E601" s="94">
        <f>E602</f>
        <v>1447.3</v>
      </c>
    </row>
    <row r="602" spans="1:5" ht="30">
      <c r="A602" s="11" t="s">
        <v>54</v>
      </c>
      <c r="B602" s="12" t="s">
        <v>455</v>
      </c>
      <c r="C602" s="13" t="s">
        <v>465</v>
      </c>
      <c r="D602" s="25">
        <v>200</v>
      </c>
      <c r="E602" s="94">
        <f>1500-52.7</f>
        <v>1447.3</v>
      </c>
    </row>
    <row r="603" spans="1:5">
      <c r="A603" s="49" t="s">
        <v>466</v>
      </c>
      <c r="B603" s="12" t="s">
        <v>455</v>
      </c>
      <c r="C603" s="13" t="s">
        <v>467</v>
      </c>
      <c r="D603" s="25"/>
      <c r="E603" s="94">
        <f>E604</f>
        <v>2309.6</v>
      </c>
    </row>
    <row r="604" spans="1:5" ht="30">
      <c r="A604" s="11" t="s">
        <v>44</v>
      </c>
      <c r="B604" s="12" t="s">
        <v>455</v>
      </c>
      <c r="C604" s="13" t="s">
        <v>467</v>
      </c>
      <c r="D604" s="25">
        <v>600</v>
      </c>
      <c r="E604" s="94">
        <v>2309.6</v>
      </c>
    </row>
    <row r="605" spans="1:5" ht="30">
      <c r="A605" s="15" t="s">
        <v>468</v>
      </c>
      <c r="B605" s="12" t="s">
        <v>455</v>
      </c>
      <c r="C605" s="13" t="s">
        <v>469</v>
      </c>
      <c r="D605" s="16"/>
      <c r="E605" s="94">
        <f>E606</f>
        <v>368.4</v>
      </c>
    </row>
    <row r="606" spans="1:5" s="27" customFormat="1" ht="30">
      <c r="A606" s="11" t="s">
        <v>54</v>
      </c>
      <c r="B606" s="12" t="s">
        <v>455</v>
      </c>
      <c r="C606" s="13" t="s">
        <v>469</v>
      </c>
      <c r="D606" s="16">
        <v>200</v>
      </c>
      <c r="E606" s="94">
        <f>358+10.4</f>
        <v>368.4</v>
      </c>
    </row>
    <row r="607" spans="1:5">
      <c r="A607" s="50" t="s">
        <v>470</v>
      </c>
      <c r="B607" s="32" t="s">
        <v>471</v>
      </c>
      <c r="C607" s="32"/>
      <c r="D607" s="34"/>
      <c r="E607" s="93">
        <f>SUM(E608+E613)</f>
        <v>25962.300000000003</v>
      </c>
    </row>
    <row r="608" spans="1:5">
      <c r="A608" s="31" t="s">
        <v>472</v>
      </c>
      <c r="B608" s="32" t="s">
        <v>473</v>
      </c>
      <c r="C608" s="32"/>
      <c r="D608" s="34"/>
      <c r="E608" s="93">
        <f>SUM(E609)</f>
        <v>16371.800000000001</v>
      </c>
    </row>
    <row r="609" spans="1:5" ht="30">
      <c r="A609" s="36" t="s">
        <v>42</v>
      </c>
      <c r="B609" s="23" t="s">
        <v>473</v>
      </c>
      <c r="C609" s="23" t="s">
        <v>81</v>
      </c>
      <c r="D609" s="25"/>
      <c r="E609" s="94">
        <f>SUM(E610)</f>
        <v>16371.800000000001</v>
      </c>
    </row>
    <row r="610" spans="1:5" ht="30">
      <c r="A610" s="36" t="s">
        <v>474</v>
      </c>
      <c r="B610" s="23" t="s">
        <v>473</v>
      </c>
      <c r="C610" s="23" t="s">
        <v>475</v>
      </c>
      <c r="D610" s="25"/>
      <c r="E610" s="94">
        <f>SUM(E611)</f>
        <v>16371.800000000001</v>
      </c>
    </row>
    <row r="611" spans="1:5" ht="30">
      <c r="A611" s="26" t="s">
        <v>38</v>
      </c>
      <c r="B611" s="23" t="s">
        <v>473</v>
      </c>
      <c r="C611" s="23" t="s">
        <v>476</v>
      </c>
      <c r="D611" s="25"/>
      <c r="E611" s="94">
        <f>SUM(E612)</f>
        <v>16371.800000000001</v>
      </c>
    </row>
    <row r="612" spans="1:5" ht="30">
      <c r="A612" s="26" t="s">
        <v>44</v>
      </c>
      <c r="B612" s="23" t="s">
        <v>473</v>
      </c>
      <c r="C612" s="23" t="s">
        <v>476</v>
      </c>
      <c r="D612" s="25">
        <v>600</v>
      </c>
      <c r="E612" s="94">
        <f>13388.7+2183.1+800</f>
        <v>16371.800000000001</v>
      </c>
    </row>
    <row r="613" spans="1:5">
      <c r="A613" s="31" t="s">
        <v>477</v>
      </c>
      <c r="B613" s="32" t="s">
        <v>478</v>
      </c>
      <c r="C613" s="32"/>
      <c r="D613" s="34"/>
      <c r="E613" s="93">
        <f>SUM(E614)</f>
        <v>9590.5</v>
      </c>
    </row>
    <row r="614" spans="1:5" ht="30">
      <c r="A614" s="36" t="s">
        <v>42</v>
      </c>
      <c r="B614" s="23" t="s">
        <v>478</v>
      </c>
      <c r="C614" s="23" t="s">
        <v>81</v>
      </c>
      <c r="D614" s="25"/>
      <c r="E614" s="94">
        <f>SUM(E615)</f>
        <v>9590.5</v>
      </c>
    </row>
    <row r="615" spans="1:5" ht="30">
      <c r="A615" s="36" t="s">
        <v>474</v>
      </c>
      <c r="B615" s="23" t="s">
        <v>478</v>
      </c>
      <c r="C615" s="23" t="s">
        <v>475</v>
      </c>
      <c r="D615" s="25"/>
      <c r="E615" s="94">
        <f>SUM(E616)</f>
        <v>9590.5</v>
      </c>
    </row>
    <row r="616" spans="1:5" ht="15.75" customHeight="1">
      <c r="A616" s="22" t="s">
        <v>479</v>
      </c>
      <c r="B616" s="23" t="s">
        <v>478</v>
      </c>
      <c r="C616" s="23" t="s">
        <v>480</v>
      </c>
      <c r="D616" s="25"/>
      <c r="E616" s="94">
        <f>SUM(E617)</f>
        <v>9590.5</v>
      </c>
    </row>
    <row r="617" spans="1:5" s="27" customFormat="1">
      <c r="A617" s="26" t="s">
        <v>19</v>
      </c>
      <c r="B617" s="23" t="s">
        <v>478</v>
      </c>
      <c r="C617" s="23" t="s">
        <v>480</v>
      </c>
      <c r="D617" s="25">
        <v>800</v>
      </c>
      <c r="E617" s="94">
        <f>9141+960.3-510.8</f>
        <v>9590.5</v>
      </c>
    </row>
    <row r="618" spans="1:5">
      <c r="A618" s="4" t="s">
        <v>481</v>
      </c>
      <c r="B618" s="5" t="s">
        <v>482</v>
      </c>
      <c r="C618" s="6"/>
      <c r="D618" s="7"/>
      <c r="E618" s="93">
        <f>E619</f>
        <v>130500</v>
      </c>
    </row>
    <row r="619" spans="1:5" ht="28.5">
      <c r="A619" s="4" t="s">
        <v>483</v>
      </c>
      <c r="B619" s="5" t="s">
        <v>484</v>
      </c>
      <c r="C619" s="6"/>
      <c r="D619" s="7"/>
      <c r="E619" s="93">
        <f>E620</f>
        <v>130500</v>
      </c>
    </row>
    <row r="620" spans="1:5">
      <c r="A620" s="11" t="s">
        <v>9</v>
      </c>
      <c r="B620" s="12" t="s">
        <v>484</v>
      </c>
      <c r="C620" s="13" t="s">
        <v>47</v>
      </c>
      <c r="D620" s="16"/>
      <c r="E620" s="94">
        <f>E621</f>
        <v>130500</v>
      </c>
    </row>
    <row r="621" spans="1:5">
      <c r="A621" s="11" t="s">
        <v>485</v>
      </c>
      <c r="B621" s="12" t="s">
        <v>484</v>
      </c>
      <c r="C621" s="13" t="s">
        <v>486</v>
      </c>
      <c r="D621" s="16"/>
      <c r="E621" s="94">
        <f>E622</f>
        <v>130500</v>
      </c>
    </row>
    <row r="622" spans="1:5">
      <c r="A622" s="11" t="s">
        <v>487</v>
      </c>
      <c r="B622" s="12" t="s">
        <v>484</v>
      </c>
      <c r="C622" s="13" t="s">
        <v>486</v>
      </c>
      <c r="D622" s="16">
        <v>700</v>
      </c>
      <c r="E622" s="94">
        <f>141000-10500</f>
        <v>130500</v>
      </c>
    </row>
    <row r="623" spans="1:5" s="27" customFormat="1" ht="6.75" customHeight="1">
      <c r="A623" s="11"/>
      <c r="B623" s="30"/>
      <c r="C623" s="13"/>
      <c r="D623" s="14"/>
      <c r="E623" s="9"/>
    </row>
    <row r="624" spans="1:5">
      <c r="A624" s="4" t="s">
        <v>490</v>
      </c>
      <c r="B624" s="6"/>
      <c r="C624" s="6"/>
      <c r="D624" s="72"/>
      <c r="E624" s="93">
        <f>E8+E107+E115+E144+E266+E384+E493+E584+E607+E618+E528</f>
        <v>5804935.7000000002</v>
      </c>
    </row>
    <row r="625" spans="1:5">
      <c r="A625" s="20"/>
      <c r="B625" s="13"/>
      <c r="C625" s="13"/>
      <c r="D625" s="19"/>
    </row>
    <row r="626" spans="1:5">
      <c r="A626" s="11"/>
      <c r="B626" s="13"/>
      <c r="C626" s="13"/>
      <c r="D626" s="19"/>
      <c r="E626" s="100"/>
    </row>
    <row r="627" spans="1:5">
      <c r="A627" s="11"/>
      <c r="B627" s="13"/>
      <c r="C627" s="13"/>
      <c r="D627" s="19"/>
      <c r="E627" s="100"/>
    </row>
    <row r="628" spans="1:5">
      <c r="A628" s="18"/>
      <c r="B628" s="13"/>
      <c r="C628" s="13"/>
      <c r="D628" s="19"/>
    </row>
    <row r="629" spans="1:5">
      <c r="A629" s="17"/>
      <c r="B629" s="13"/>
      <c r="C629" s="13"/>
      <c r="D629" s="19"/>
    </row>
    <row r="630" spans="1:5">
      <c r="A630" s="11"/>
      <c r="B630" s="13"/>
      <c r="C630" s="13"/>
      <c r="D630" s="19"/>
    </row>
    <row r="631" spans="1:5">
      <c r="A631" s="17"/>
      <c r="B631" s="13"/>
      <c r="C631" s="16"/>
      <c r="D631" s="19"/>
    </row>
    <row r="632" spans="1:5">
      <c r="A632" s="11"/>
      <c r="B632" s="13"/>
      <c r="C632" s="16"/>
      <c r="D632" s="19"/>
    </row>
    <row r="633" spans="1:5">
      <c r="A633" s="11"/>
      <c r="B633" s="13"/>
      <c r="C633" s="16"/>
      <c r="D633" s="19"/>
    </row>
    <row r="634" spans="1:5" s="27" customFormat="1" ht="18.75" customHeight="1">
      <c r="A634" s="11"/>
      <c r="B634" s="13"/>
      <c r="C634" s="16"/>
      <c r="D634" s="19"/>
      <c r="E634" s="9"/>
    </row>
    <row r="635" spans="1:5">
      <c r="A635" s="47"/>
      <c r="B635" s="13"/>
      <c r="C635" s="16"/>
      <c r="D635" s="8"/>
    </row>
    <row r="636" spans="1:5">
      <c r="A636" s="47"/>
      <c r="B636" s="6"/>
      <c r="C636" s="7"/>
      <c r="D636" s="8"/>
      <c r="E636" s="27"/>
    </row>
    <row r="637" spans="1:5">
      <c r="A637" s="15"/>
      <c r="B637" s="13"/>
      <c r="C637" s="16"/>
      <c r="D637" s="19"/>
    </row>
    <row r="638" spans="1:5">
      <c r="A638" s="41"/>
      <c r="B638" s="13"/>
      <c r="C638" s="16"/>
      <c r="D638" s="19"/>
    </row>
    <row r="639" spans="1:5">
      <c r="A639" s="48"/>
      <c r="B639" s="13"/>
      <c r="C639" s="16"/>
      <c r="D639" s="19"/>
    </row>
    <row r="640" spans="1:5">
      <c r="A640" s="37"/>
      <c r="B640" s="13"/>
      <c r="C640" s="16"/>
      <c r="D640" s="19"/>
    </row>
    <row r="641" spans="1:5">
      <c r="A641" s="11"/>
      <c r="B641" s="13"/>
      <c r="C641" s="16"/>
      <c r="D641" s="19"/>
    </row>
    <row r="642" spans="1:5">
      <c r="A642" s="31"/>
      <c r="B642" s="33"/>
      <c r="C642" s="34"/>
      <c r="D642" s="10"/>
    </row>
    <row r="643" spans="1:5">
      <c r="A643" s="4"/>
      <c r="B643" s="6"/>
      <c r="C643" s="7"/>
      <c r="D643" s="8"/>
    </row>
    <row r="644" spans="1:5">
      <c r="A644" s="11"/>
      <c r="B644" s="13"/>
      <c r="C644" s="16"/>
      <c r="D644" s="19"/>
    </row>
    <row r="645" spans="1:5">
      <c r="A645" s="11"/>
      <c r="B645" s="13"/>
      <c r="C645" s="16"/>
      <c r="D645" s="19"/>
    </row>
    <row r="646" spans="1:5">
      <c r="A646" s="11"/>
      <c r="B646" s="13"/>
      <c r="C646" s="16"/>
      <c r="D646" s="19"/>
    </row>
    <row r="647" spans="1:5">
      <c r="A647" s="4"/>
      <c r="B647" s="6"/>
      <c r="C647" s="7"/>
      <c r="D647" s="8"/>
      <c r="E647" s="27"/>
    </row>
    <row r="648" spans="1:5" ht="94.5" customHeight="1">
      <c r="A648" s="11"/>
      <c r="B648" s="13"/>
      <c r="C648" s="16"/>
      <c r="D648" s="19"/>
    </row>
    <row r="649" spans="1:5">
      <c r="A649" s="11"/>
      <c r="B649" s="13"/>
      <c r="C649" s="16"/>
      <c r="D649" s="19"/>
    </row>
    <row r="650" spans="1:5">
      <c r="A650" s="11"/>
      <c r="B650" s="13"/>
      <c r="C650" s="16"/>
      <c r="D650" s="19"/>
    </row>
    <row r="651" spans="1:5">
      <c r="A651" s="11"/>
      <c r="B651" s="13"/>
      <c r="C651" s="16"/>
      <c r="D651" s="19"/>
    </row>
    <row r="652" spans="1:5">
      <c r="A652" s="11"/>
      <c r="B652" s="13"/>
      <c r="C652" s="16"/>
      <c r="D652" s="19"/>
    </row>
    <row r="653" spans="1:5">
      <c r="A653" s="17"/>
      <c r="B653" s="13"/>
      <c r="C653" s="16"/>
      <c r="D653" s="19"/>
    </row>
    <row r="654" spans="1:5">
      <c r="A654" s="11"/>
      <c r="B654" s="13"/>
      <c r="C654" s="16"/>
      <c r="D654" s="14"/>
    </row>
    <row r="655" spans="1:5">
      <c r="A655" s="11"/>
      <c r="B655" s="13"/>
      <c r="C655" s="16"/>
      <c r="D655" s="19"/>
    </row>
    <row r="656" spans="1:5">
      <c r="A656" s="11"/>
      <c r="B656" s="13"/>
      <c r="C656" s="16"/>
      <c r="D656" s="19"/>
    </row>
    <row r="657" spans="1:4">
      <c r="A657" s="11"/>
      <c r="B657" s="13"/>
      <c r="C657" s="16"/>
      <c r="D657" s="19"/>
    </row>
    <row r="658" spans="1:4">
      <c r="A658" s="11"/>
      <c r="B658" s="13"/>
      <c r="C658" s="16"/>
      <c r="D658" s="19"/>
    </row>
    <row r="659" spans="1:4">
      <c r="A659" s="11"/>
      <c r="B659" s="13"/>
      <c r="C659" s="16"/>
      <c r="D659" s="19"/>
    </row>
    <row r="660" spans="1:4">
      <c r="A660" s="41"/>
      <c r="B660" s="13"/>
      <c r="C660" s="16"/>
      <c r="D660" s="19"/>
    </row>
    <row r="661" spans="1:4">
      <c r="A661" s="38"/>
      <c r="B661" s="13"/>
      <c r="C661" s="16"/>
      <c r="D661" s="19"/>
    </row>
    <row r="662" spans="1:4">
      <c r="A662" s="15"/>
      <c r="B662" s="13"/>
      <c r="C662" s="16"/>
      <c r="D662" s="19"/>
    </row>
    <row r="663" spans="1:4">
      <c r="A663" s="22"/>
      <c r="B663" s="24"/>
      <c r="C663" s="25"/>
      <c r="D663" s="14"/>
    </row>
    <row r="664" spans="1:4">
      <c r="A664" s="22"/>
      <c r="B664" s="24"/>
      <c r="C664" s="25"/>
      <c r="D664" s="14"/>
    </row>
    <row r="665" spans="1:4">
      <c r="A665" s="22"/>
      <c r="B665" s="24"/>
      <c r="C665" s="25"/>
      <c r="D665" s="14"/>
    </row>
    <row r="666" spans="1:4">
      <c r="A666" s="11"/>
      <c r="B666" s="24"/>
      <c r="C666" s="25"/>
      <c r="D666" s="14"/>
    </row>
    <row r="667" spans="1:4">
      <c r="A667" s="22"/>
      <c r="B667" s="24"/>
      <c r="C667" s="25"/>
      <c r="D667" s="14"/>
    </row>
    <row r="668" spans="1:4">
      <c r="A668" s="38"/>
      <c r="B668" s="23"/>
      <c r="C668" s="25"/>
      <c r="D668" s="14"/>
    </row>
    <row r="669" spans="1:4">
      <c r="A669" s="11"/>
      <c r="B669" s="23"/>
      <c r="C669" s="25"/>
      <c r="D669" s="14"/>
    </row>
    <row r="670" spans="1:4">
      <c r="A670" s="22"/>
      <c r="B670" s="24"/>
      <c r="C670" s="25"/>
      <c r="D670" s="14"/>
    </row>
    <row r="671" spans="1:4">
      <c r="A671" s="26"/>
      <c r="B671" s="24"/>
      <c r="C671" s="25"/>
      <c r="D671" s="14"/>
    </row>
    <row r="672" spans="1:4">
      <c r="A672" s="26"/>
      <c r="B672" s="24"/>
      <c r="C672" s="25"/>
      <c r="D672" s="14"/>
    </row>
    <row r="673" spans="1:4">
      <c r="A673" s="26"/>
      <c r="B673" s="24"/>
      <c r="C673" s="25"/>
      <c r="D673" s="14"/>
    </row>
    <row r="674" spans="1:4">
      <c r="A674" s="43"/>
      <c r="B674" s="23"/>
      <c r="C674" s="25"/>
      <c r="D674" s="14"/>
    </row>
    <row r="675" spans="1:4">
      <c r="A675" s="26"/>
      <c r="B675" s="23"/>
      <c r="C675" s="25"/>
      <c r="D675" s="14"/>
    </row>
    <row r="676" spans="1:4">
      <c r="A676" s="31"/>
      <c r="B676" s="33"/>
      <c r="C676" s="32"/>
      <c r="D676" s="10"/>
    </row>
    <row r="677" spans="1:4">
      <c r="A677" s="11"/>
      <c r="B677" s="13"/>
      <c r="C677" s="32"/>
      <c r="D677" s="14"/>
    </row>
    <row r="678" spans="1:4">
      <c r="A678" s="18"/>
      <c r="B678" s="13"/>
      <c r="C678" s="23"/>
      <c r="D678" s="14"/>
    </row>
    <row r="679" spans="1:4">
      <c r="A679" s="43"/>
      <c r="B679" s="13"/>
      <c r="C679" s="23"/>
      <c r="D679" s="14"/>
    </row>
    <row r="680" spans="1:4">
      <c r="A680" s="37"/>
      <c r="B680" s="13"/>
      <c r="C680" s="23"/>
      <c r="D680" s="14"/>
    </row>
    <row r="681" spans="1:4">
      <c r="A681" s="11"/>
      <c r="B681" s="13"/>
      <c r="C681" s="23"/>
      <c r="D681" s="14"/>
    </row>
    <row r="682" spans="1:4">
      <c r="A682" s="26"/>
      <c r="B682" s="13"/>
      <c r="C682" s="23"/>
      <c r="D682" s="14"/>
    </row>
    <row r="683" spans="1:4">
      <c r="A683" s="11"/>
      <c r="B683" s="13"/>
      <c r="C683" s="12"/>
      <c r="D683" s="19"/>
    </row>
    <row r="684" spans="1:4">
      <c r="A684" s="17"/>
      <c r="B684" s="13"/>
      <c r="C684" s="12"/>
      <c r="D684" s="19"/>
    </row>
    <row r="685" spans="1:4">
      <c r="A685" s="18"/>
      <c r="B685" s="13"/>
      <c r="C685" s="16"/>
      <c r="D685" s="19"/>
    </row>
    <row r="686" spans="1:4">
      <c r="A686" s="11"/>
      <c r="B686" s="13"/>
      <c r="C686" s="16"/>
      <c r="D686" s="19"/>
    </row>
    <row r="687" spans="1:4">
      <c r="A687" s="17"/>
      <c r="B687" s="13"/>
      <c r="C687" s="12"/>
      <c r="D687" s="19"/>
    </row>
    <row r="688" spans="1:4">
      <c r="A688" s="49"/>
      <c r="B688" s="13"/>
      <c r="C688" s="16"/>
      <c r="D688" s="19"/>
    </row>
    <row r="689" spans="1:4">
      <c r="A689" s="15"/>
      <c r="B689" s="13"/>
      <c r="C689" s="16"/>
      <c r="D689" s="19"/>
    </row>
    <row r="690" spans="1:4">
      <c r="A690" s="11"/>
      <c r="B690" s="13"/>
      <c r="C690" s="16"/>
      <c r="D690" s="19"/>
    </row>
    <row r="691" spans="1:4">
      <c r="A691" s="46"/>
      <c r="B691" s="13"/>
      <c r="C691" s="16"/>
      <c r="D691" s="19"/>
    </row>
    <row r="692" spans="1:4">
      <c r="A692" s="15"/>
      <c r="B692" s="13"/>
      <c r="C692" s="16"/>
      <c r="D692" s="19"/>
    </row>
    <row r="693" spans="1:4">
      <c r="A693" s="11"/>
      <c r="B693" s="13"/>
      <c r="C693" s="16"/>
      <c r="D693" s="19"/>
    </row>
    <row r="694" spans="1:4">
      <c r="A694" s="46"/>
      <c r="B694" s="13"/>
      <c r="C694" s="16"/>
      <c r="D694" s="19"/>
    </row>
    <row r="695" spans="1:4">
      <c r="A695" s="15"/>
      <c r="B695" s="13"/>
      <c r="C695" s="16"/>
      <c r="D695" s="19"/>
    </row>
    <row r="696" spans="1:4">
      <c r="A696" s="11"/>
      <c r="B696" s="13"/>
      <c r="C696" s="16"/>
      <c r="D696" s="19"/>
    </row>
    <row r="697" spans="1:4">
      <c r="A697" s="4"/>
      <c r="B697" s="6"/>
      <c r="C697" s="7"/>
      <c r="D697" s="8"/>
    </row>
    <row r="698" spans="1:4">
      <c r="A698" s="4"/>
      <c r="B698" s="6"/>
      <c r="C698" s="7"/>
      <c r="D698" s="8"/>
    </row>
    <row r="699" spans="1:4">
      <c r="A699" s="11"/>
      <c r="B699" s="13"/>
      <c r="C699" s="16"/>
      <c r="D699" s="19"/>
    </row>
    <row r="700" spans="1:4">
      <c r="A700" s="17"/>
      <c r="B700" s="13"/>
      <c r="C700" s="16"/>
      <c r="D700" s="19"/>
    </row>
    <row r="701" spans="1:4">
      <c r="A701" s="11"/>
      <c r="B701" s="13"/>
      <c r="C701" s="16"/>
      <c r="D701" s="19"/>
    </row>
    <row r="702" spans="1:4">
      <c r="A702" s="4"/>
      <c r="B702" s="6"/>
      <c r="C702" s="7"/>
      <c r="D702" s="8"/>
    </row>
    <row r="703" spans="1:4">
      <c r="A703" s="11"/>
      <c r="B703" s="13"/>
      <c r="C703" s="16"/>
      <c r="D703" s="19"/>
    </row>
    <row r="704" spans="1:4">
      <c r="A704" s="11"/>
      <c r="B704" s="13"/>
      <c r="C704" s="16"/>
      <c r="D704" s="19"/>
    </row>
    <row r="705" spans="1:4">
      <c r="A705" s="11"/>
      <c r="B705" s="13"/>
      <c r="C705" s="16"/>
      <c r="D705" s="19"/>
    </row>
    <row r="706" spans="1:4">
      <c r="A706" s="11"/>
      <c r="B706" s="13"/>
      <c r="C706" s="16"/>
      <c r="D706" s="19"/>
    </row>
    <row r="707" spans="1:4" ht="34.5" customHeight="1">
      <c r="A707" s="11"/>
      <c r="B707" s="13"/>
      <c r="C707" s="16"/>
      <c r="D707" s="19"/>
    </row>
    <row r="708" spans="1:4">
      <c r="A708" s="11"/>
      <c r="B708" s="13"/>
      <c r="C708" s="16"/>
      <c r="D708" s="19"/>
    </row>
    <row r="709" spans="1:4">
      <c r="A709" s="11"/>
      <c r="B709" s="13"/>
      <c r="C709" s="16"/>
      <c r="D709" s="19"/>
    </row>
    <row r="710" spans="1:4">
      <c r="A710" s="15"/>
      <c r="B710" s="13"/>
      <c r="C710" s="16"/>
      <c r="D710" s="19"/>
    </row>
    <row r="711" spans="1:4">
      <c r="A711" s="37"/>
      <c r="B711" s="13"/>
      <c r="C711" s="16"/>
      <c r="D711" s="19"/>
    </row>
    <row r="712" spans="1:4">
      <c r="A712" s="11"/>
      <c r="B712" s="13"/>
      <c r="C712" s="16"/>
      <c r="D712" s="19"/>
    </row>
    <row r="713" spans="1:4">
      <c r="A713" s="11"/>
      <c r="B713" s="13"/>
      <c r="C713" s="16"/>
      <c r="D713" s="19"/>
    </row>
    <row r="714" spans="1:4">
      <c r="A714" s="50"/>
      <c r="B714" s="33"/>
      <c r="C714" s="34"/>
      <c r="D714" s="10"/>
    </row>
    <row r="715" spans="1:4" ht="28.5" customHeight="1">
      <c r="A715" s="31"/>
      <c r="B715" s="33"/>
      <c r="C715" s="34"/>
      <c r="D715" s="10"/>
    </row>
    <row r="716" spans="1:4">
      <c r="A716" s="36"/>
      <c r="B716" s="24"/>
      <c r="C716" s="25"/>
      <c r="D716" s="14"/>
    </row>
    <row r="717" spans="1:4">
      <c r="A717" s="26"/>
      <c r="B717" s="24"/>
      <c r="C717" s="25"/>
      <c r="D717" s="14"/>
    </row>
    <row r="718" spans="1:4">
      <c r="A718" s="26"/>
      <c r="B718" s="24"/>
      <c r="C718" s="25"/>
      <c r="D718" s="14"/>
    </row>
    <row r="719" spans="1:4">
      <c r="A719" s="31"/>
      <c r="B719" s="33"/>
      <c r="C719" s="34"/>
      <c r="D719" s="10"/>
    </row>
    <row r="720" spans="1:4">
      <c r="A720" s="36"/>
      <c r="B720" s="24"/>
      <c r="C720" s="25"/>
      <c r="D720" s="14"/>
    </row>
    <row r="721" spans="1:5">
      <c r="A721" s="22"/>
      <c r="B721" s="24"/>
      <c r="C721" s="25"/>
      <c r="D721" s="14"/>
    </row>
    <row r="722" spans="1:5">
      <c r="A722" s="26"/>
      <c r="B722" s="24"/>
      <c r="C722" s="25"/>
      <c r="D722" s="14"/>
    </row>
    <row r="723" spans="1:5">
      <c r="A723" s="4"/>
      <c r="B723" s="6"/>
      <c r="C723" s="7"/>
      <c r="D723" s="8"/>
    </row>
    <row r="724" spans="1:5">
      <c r="A724" s="4"/>
      <c r="B724" s="6"/>
      <c r="C724" s="7"/>
      <c r="D724" s="8"/>
    </row>
    <row r="725" spans="1:5">
      <c r="A725" s="11"/>
      <c r="B725" s="13"/>
      <c r="C725" s="16"/>
      <c r="D725" s="19"/>
    </row>
    <row r="726" spans="1:5">
      <c r="A726" s="11"/>
      <c r="B726" s="13"/>
      <c r="C726" s="16"/>
      <c r="D726" s="19"/>
    </row>
    <row r="727" spans="1:5">
      <c r="A727" s="11"/>
      <c r="B727" s="13"/>
      <c r="C727" s="16"/>
      <c r="D727" s="19"/>
    </row>
    <row r="728" spans="1:5">
      <c r="A728" s="47"/>
      <c r="B728" s="47"/>
      <c r="C728" s="51"/>
      <c r="D728" s="52"/>
      <c r="E728" s="101"/>
    </row>
    <row r="729" spans="1:5">
      <c r="E729" s="100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1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2016-12-14T09:57:23Z</cp:lastPrinted>
  <dcterms:created xsi:type="dcterms:W3CDTF">2015-11-05T02:13:32Z</dcterms:created>
  <dcterms:modified xsi:type="dcterms:W3CDTF">2016-12-14T09:58:03Z</dcterms:modified>
</cp:coreProperties>
</file>