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Решения Думы\2025\Уточнения бюджета\29.05.2025 № 13-59\"/>
    </mc:Choice>
  </mc:AlternateContent>
  <xr:revisionPtr revIDLastSave="0" documentId="13_ncr:1_{C6F2AC6F-8722-46E6-9B30-41B999E27305}" xr6:coauthVersionLast="47" xr6:coauthVersionMax="47" xr10:uidLastSave="{00000000-0000-0000-0000-000000000000}"/>
  <bookViews>
    <workbookView xWindow="390" yWindow="390" windowWidth="16380" windowHeight="15375" xr2:uid="{00000000-000D-0000-FFFF-FFFF00000000}"/>
  </bookViews>
  <sheets>
    <sheet name="рпр" sheetId="1" r:id="rId1"/>
  </sheets>
  <definedNames>
    <definedName name="_xlnm._FilterDatabase" localSheetId="0" hidden="1">рпр!$A$8:$G$802</definedName>
    <definedName name="Z_0D09C470_2E87_4C0F_8678_A948774FDA23_.wvu.FilterData" localSheetId="0" hidden="1">рпр!$D$3:$D$17</definedName>
    <definedName name="Z_199C747B_6047_4DBE_B7AF_0B4ED9AF8062_.wvu.FilterData" localSheetId="0" hidden="1">рпр!$C$3:$C$811</definedName>
    <definedName name="Z_1CA6CCC9_64EF_4CA9_9C9C_1E572976D134_.wvu.FilterData" localSheetId="0" hidden="1">рпр!$A$8:$G$802</definedName>
    <definedName name="Z_1CA6CCC9_64EF_4CA9_9C9C_1E572976D134_.wvu.PrintTitles" localSheetId="0" hidden="1">рпр!$9:$10</definedName>
    <definedName name="Z_23A5EAB7_7745_45A3_8BB4_D6186958C7BF_.wvu.FilterData" localSheetId="0" hidden="1">рпр!$D$3:$D$17</definedName>
    <definedName name="Z_23A5EAB7_7745_45A3_8BB4_D6186958C7BF_.wvu.PrintTitles" localSheetId="0" hidden="1">рпр!$9:$10</definedName>
    <definedName name="Z_23F7C319_D9D7_459A_B8F5_A3581D3A5B81_.wvu.FilterData" localSheetId="0" hidden="1">рпр!$D$3:$D$17</definedName>
    <definedName name="Z_2A135292_D5EB_4A8D_A93E_D0B24F2543E0_.wvu.FilterData" localSheetId="0" hidden="1">рпр!$A$8:$G$802</definedName>
    <definedName name="Z_2A135292_D5EB_4A8D_A93E_D0B24F2543E0_.wvu.PrintTitles" localSheetId="0" hidden="1">рпр!$9:$10</definedName>
    <definedName name="Z_3197038B_7AE0_453D_B16F_842F91D12370_.wvu.FilterData" localSheetId="0" hidden="1">рпр!$D$3:$D$17</definedName>
    <definedName name="Z_32FC6AA7_97FD_40A3_9558_62D49F19A162_.wvu.FilterData" localSheetId="0" hidden="1">рпр!$D$3:$D$17</definedName>
    <definedName name="Z_3D5FA0F4_920E_4BDD_8237_DA71285E552D_.wvu.FilterData" localSheetId="0" hidden="1">рпр!$D$3:$D$17</definedName>
    <definedName name="Z_3E648FDD_E1B7_4790_827B_0B5F0EAD6452_.wvu.FilterData" localSheetId="0" hidden="1">рпр!$D$3:$D$17</definedName>
    <definedName name="Z_5489E52F_3E4E_4A5D_9CAF_34B64A29D785_.wvu.FilterData" localSheetId="0" hidden="1">рпр!$D$3:$D$17</definedName>
    <definedName name="Z_61C84D61_2D1A_4C38_8F3E_B87673D547A5_.wvu.FilterData" localSheetId="0" hidden="1">рпр!$A$8:$G$802</definedName>
    <definedName name="Z_61C84D61_2D1A_4C38_8F3E_B87673D547A5_.wvu.PrintTitles" localSheetId="0" hidden="1">рпр!$9:$10</definedName>
    <definedName name="Z_6C9A7D5C_610A_4B66_A332_0B1E5ACC7CDC_.wvu.FilterData" localSheetId="0" hidden="1">рпр!$C$3:$C$811</definedName>
    <definedName name="Z_6D8949E9_8F67_452F_8026_18F60ECD626A_.wvu.FilterData" localSheetId="0" hidden="1">рпр!$C$3:$C$811</definedName>
    <definedName name="Z_926F2036_6CA2_4D9D_9A3F_FBB9B9A9CDEA_.wvu.FilterData" localSheetId="0" hidden="1">рпр!$D$3:$D$17</definedName>
    <definedName name="Z_93B03682_4FA6_4195_9F3E_A40BC2C05B11_.wvu.FilterData" localSheetId="0" hidden="1">рпр!$D$3:$D$17</definedName>
    <definedName name="Z_9FDAC6D4_D6DE_4524_BE34_3372FE2E9C61_.wvu.FilterData" localSheetId="0" hidden="1">рпр!$D$3:$D$17</definedName>
    <definedName name="Z_AA62EF5A_85DE_4BC8_95D5_4F54CE8CF3D6_.wvu.FilterData" localSheetId="0" hidden="1">рпр!$A$8:$G$802</definedName>
    <definedName name="Z_AA62EF5A_85DE_4BC8_95D5_4F54CE8CF3D6_.wvu.PrintTitles" localSheetId="0" hidden="1">рпр!$9:$10</definedName>
    <definedName name="Z_BB350AFD_3C59_406F_B078_BA01ED584583_.wvu.FilterData" localSheetId="0" hidden="1">рпр!$C$3:$C$811</definedName>
    <definedName name="Z_BBC98704_382B_4A77_8B65_8E0E10583F10_.wvu.FilterData" localSheetId="0" hidden="1">рпр!$C$3:$C$811</definedName>
    <definedName name="Z_D2822DC7_D4ED_4DDD_BAA7_FCD29EB01634_.wvu.FilterData" localSheetId="0" hidden="1">рпр!$C$3:$C$811</definedName>
    <definedName name="Z_DE4C4DED_3532_45E6_82B9_84CB49AD099F_.wvu.FilterData" localSheetId="0" hidden="1">рпр!$C$3:$C$811</definedName>
    <definedName name="Z_F90D38A5_C457_4FC4_B8B4_5D36CD74970E_.wvu.FilterData" localSheetId="0" hidden="1">рпр!$D$3:$D$17</definedName>
    <definedName name="Z_FD876D40_493A_470C_A137_1F7C6C6DA01D_.wvu.FilterData" localSheetId="0" hidden="1">рпр!$D$3:$D$17</definedName>
    <definedName name="Z_FD876D40_493A_470C_A137_1F7C6C6DA01D_.wvu.PrintTitles" localSheetId="0" hidden="1">рпр!$9:$10</definedName>
    <definedName name="_xlnm.Print_Titles" localSheetId="0">рпр!$9:$10</definedName>
  </definedNames>
  <calcPr calcId="191029"/>
  <customWorkbookViews>
    <customWorkbookView name="Хода Светлана Ивановна - Личное представление" guid="{61C84D61-2D1A-4C38-8F3E-B87673D547A5}" mergeInterval="0" personalView="1" maximized="1" xWindow="-8" yWindow="-8" windowWidth="1936" windowHeight="1056" activeSheetId="1"/>
    <customWorkbookView name="Ярина - Личное представление" guid="{FD876D40-493A-470C-A137-1F7C6C6DA01D}" mergeInterval="0" personalView="1" xWindow="-10" yWindow="27" windowWidth="966" windowHeight="1040" activeSheetId="1"/>
    <customWorkbookView name="Кацель - Личное представление" guid="{23A5EAB7-7745-45A3-8BB4-D6186958C7BF}" mergeInterval="0" personalView="1" maximized="1" xWindow="-8" yWindow="-8" windowWidth="1936" windowHeight="1056" activeSheetId="1"/>
    <customWorkbookView name="Захаревич Елена - Личное представление" guid="{1CA6CCC9-64EF-4CA9-9C9C-1E572976D134}" mergeInterval="0" personalView="1" xWindow="97" yWindow="3" windowWidth="1007" windowHeight="1034" activeSheetId="1"/>
    <customWorkbookView name="Наталья Геращенко - Личное представление" guid="{2A135292-D5EB-4A8D-A93E-D0B24F2543E0}" mergeInterval="0" personalView="1" maximized="1" xWindow="-8" yWindow="-8" windowWidth="1936" windowHeight="1056" activeSheetId="1"/>
    <customWorkbookView name="Ярина Анна - Личное представление" guid="{AA62EF5A-85DE-4BC8-95D5-4F54CE8CF3D6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0" i="1" l="1"/>
  <c r="G420" i="1"/>
  <c r="E420" i="1"/>
  <c r="G447" i="1"/>
  <c r="E28" i="1"/>
  <c r="E25" i="1"/>
  <c r="F405" i="1"/>
  <c r="F778" i="1"/>
  <c r="G778" i="1"/>
  <c r="F582" i="1"/>
  <c r="F581" i="1" s="1"/>
  <c r="G582" i="1"/>
  <c r="G581" i="1" s="1"/>
  <c r="F541" i="1"/>
  <c r="G541" i="1"/>
  <c r="E510" i="1"/>
  <c r="F501" i="1"/>
  <c r="G501" i="1"/>
  <c r="G444" i="1"/>
  <c r="F444" i="1"/>
  <c r="G413" i="1"/>
  <c r="F413" i="1"/>
  <c r="G411" i="1"/>
  <c r="F411" i="1"/>
  <c r="G409" i="1"/>
  <c r="F409" i="1"/>
  <c r="G407" i="1"/>
  <c r="F407" i="1"/>
  <c r="F399" i="1"/>
  <c r="G399" i="1"/>
  <c r="F393" i="1"/>
  <c r="G393" i="1"/>
  <c r="F364" i="1"/>
  <c r="G364" i="1"/>
  <c r="G362" i="1"/>
  <c r="G360" i="1"/>
  <c r="F358" i="1"/>
  <c r="G358" i="1"/>
  <c r="F316" i="1"/>
  <c r="G316" i="1"/>
  <c r="F289" i="1"/>
  <c r="G289" i="1"/>
  <c r="F287" i="1"/>
  <c r="G287" i="1"/>
  <c r="F283" i="1"/>
  <c r="G283" i="1"/>
  <c r="F272" i="1"/>
  <c r="F271" i="1" s="1"/>
  <c r="F270" i="1" s="1"/>
  <c r="G272" i="1"/>
  <c r="G271" i="1" s="1"/>
  <c r="G270" i="1" s="1"/>
  <c r="F206" i="1" l="1"/>
  <c r="G206" i="1"/>
  <c r="E206" i="1"/>
  <c r="F209" i="1"/>
  <c r="F208" i="1" s="1"/>
  <c r="E209" i="1"/>
  <c r="E208" i="1" s="1"/>
  <c r="G208" i="1"/>
  <c r="G204" i="1"/>
  <c r="E204" i="1"/>
  <c r="E202" i="1"/>
  <c r="G202" i="1"/>
  <c r="E200" i="1"/>
  <c r="F200" i="1"/>
  <c r="G200" i="1"/>
  <c r="E198" i="1"/>
  <c r="G198" i="1"/>
  <c r="G196" i="1"/>
  <c r="E196" i="1"/>
  <c r="E194" i="1"/>
  <c r="G194" i="1"/>
  <c r="G192" i="1"/>
  <c r="G190" i="1"/>
  <c r="F188" i="1"/>
  <c r="G188" i="1"/>
  <c r="F186" i="1"/>
  <c r="G186" i="1"/>
  <c r="F184" i="1"/>
  <c r="G184" i="1"/>
  <c r="F182" i="1"/>
  <c r="G182" i="1"/>
  <c r="F180" i="1"/>
  <c r="G180" i="1"/>
  <c r="F178" i="1"/>
  <c r="G178" i="1"/>
  <c r="F176" i="1"/>
  <c r="G176" i="1"/>
  <c r="F174" i="1"/>
  <c r="G174" i="1"/>
  <c r="F172" i="1"/>
  <c r="G172" i="1"/>
  <c r="F170" i="1"/>
  <c r="G170" i="1"/>
  <c r="F81" i="1"/>
  <c r="E750" i="1" l="1"/>
  <c r="E797" i="1"/>
  <c r="E792" i="1"/>
  <c r="E778" i="1"/>
  <c r="E776" i="1"/>
  <c r="G764" i="1"/>
  <c r="G763" i="1" s="1"/>
  <c r="E763" i="1"/>
  <c r="F763" i="1"/>
  <c r="F761" i="1"/>
  <c r="F760" i="1" s="1"/>
  <c r="G761" i="1"/>
  <c r="E761" i="1"/>
  <c r="E760" i="1" s="1"/>
  <c r="F720" i="1"/>
  <c r="E718" i="1"/>
  <c r="E726" i="1"/>
  <c r="E720" i="1"/>
  <c r="E703" i="1"/>
  <c r="E685" i="1"/>
  <c r="E687" i="1"/>
  <c r="E675" i="1"/>
  <c r="G669" i="1"/>
  <c r="F669" i="1"/>
  <c r="E669" i="1"/>
  <c r="F363" i="1"/>
  <c r="F361" i="1"/>
  <c r="G760" i="1" l="1"/>
  <c r="E640" i="1"/>
  <c r="E647" i="1"/>
  <c r="E644" i="1"/>
  <c r="E641" i="1"/>
  <c r="E635" i="1"/>
  <c r="G606" i="1"/>
  <c r="F606" i="1"/>
  <c r="E606" i="1"/>
  <c r="E604" i="1"/>
  <c r="G575" i="1"/>
  <c r="F575" i="1"/>
  <c r="E582" i="1"/>
  <c r="E581" i="1" s="1"/>
  <c r="E578" i="1"/>
  <c r="E577" i="1"/>
  <c r="E588" i="1"/>
  <c r="E575" i="1"/>
  <c r="E558" i="1"/>
  <c r="E556" i="1"/>
  <c r="E554" i="1"/>
  <c r="E532" i="1"/>
  <c r="E569" i="1"/>
  <c r="E565" i="1"/>
  <c r="E561" i="1"/>
  <c r="E541" i="1"/>
  <c r="E540" i="1"/>
  <c r="E536" i="1"/>
  <c r="E534" i="1"/>
  <c r="G494" i="1"/>
  <c r="E501" i="1"/>
  <c r="E497" i="1"/>
  <c r="E496" i="1"/>
  <c r="E494" i="1"/>
  <c r="E473" i="1"/>
  <c r="E464" i="1"/>
  <c r="E466" i="1"/>
  <c r="E467" i="1"/>
  <c r="E474" i="1"/>
  <c r="E413" i="1"/>
  <c r="E402" i="1"/>
  <c r="F447" i="1"/>
  <c r="F416" i="1"/>
  <c r="E393" i="1"/>
  <c r="E453" i="1"/>
  <c r="F450" i="1"/>
  <c r="G450" i="1"/>
  <c r="E450" i="1"/>
  <c r="E447" i="1"/>
  <c r="E435" i="1"/>
  <c r="E427" i="1"/>
  <c r="E426" i="1"/>
  <c r="E424" i="1"/>
  <c r="E422" i="1"/>
  <c r="E416" i="1"/>
  <c r="E418" i="1"/>
  <c r="E399" i="1"/>
  <c r="E444" i="1"/>
  <c r="E411" i="1"/>
  <c r="E409" i="1"/>
  <c r="E408" i="1"/>
  <c r="E407" i="1" s="1"/>
  <c r="F362" i="1"/>
  <c r="F360" i="1"/>
  <c r="F323" i="1"/>
  <c r="F321" i="1"/>
  <c r="E365" i="1"/>
  <c r="E364" i="1" s="1"/>
  <c r="E359" i="1"/>
  <c r="E358" i="1" s="1"/>
  <c r="E362" i="1"/>
  <c r="E360" i="1"/>
  <c r="E357" i="1"/>
  <c r="E356" i="1" s="1"/>
  <c r="E355" i="1"/>
  <c r="E354" i="1" s="1"/>
  <c r="F356" i="1"/>
  <c r="G356" i="1"/>
  <c r="F354" i="1"/>
  <c r="G354" i="1"/>
  <c r="E323" i="1"/>
  <c r="E372" i="1"/>
  <c r="E319" i="1"/>
  <c r="E317" i="1"/>
  <c r="E316" i="1" s="1"/>
  <c r="E277" i="1"/>
  <c r="E273" i="1"/>
  <c r="E272" i="1" s="1"/>
  <c r="E271" i="1" s="1"/>
  <c r="E270" i="1" s="1"/>
  <c r="E289" i="1"/>
  <c r="E287" i="1"/>
  <c r="E639" i="1" l="1"/>
  <c r="E282" i="1"/>
  <c r="E283" i="1"/>
  <c r="E266" i="1"/>
  <c r="F251" i="1"/>
  <c r="G251" i="1"/>
  <c r="E251" i="1"/>
  <c r="F204" i="1"/>
  <c r="F202" i="1"/>
  <c r="F198" i="1"/>
  <c r="F196" i="1"/>
  <c r="F194" i="1"/>
  <c r="F192" i="1"/>
  <c r="F190" i="1"/>
  <c r="F167" i="1"/>
  <c r="E192" i="1"/>
  <c r="E190" i="1"/>
  <c r="E188" i="1"/>
  <c r="E186" i="1"/>
  <c r="E184" i="1"/>
  <c r="E182" i="1"/>
  <c r="E180" i="1"/>
  <c r="E178" i="1"/>
  <c r="E176" i="1"/>
  <c r="E174" i="1"/>
  <c r="E172" i="1"/>
  <c r="E170" i="1"/>
  <c r="F168" i="1"/>
  <c r="G168" i="1"/>
  <c r="E168" i="1"/>
  <c r="E167" i="1"/>
  <c r="E227" i="1"/>
  <c r="E219" i="1"/>
  <c r="E218" i="1" s="1"/>
  <c r="E215" i="1"/>
  <c r="E213" i="1"/>
  <c r="F218" i="1"/>
  <c r="G218" i="1"/>
  <c r="E159" i="1"/>
  <c r="E157" i="1" l="1"/>
  <c r="F148" i="1"/>
  <c r="F147" i="1" s="1"/>
  <c r="F146" i="1" s="1"/>
  <c r="G148" i="1"/>
  <c r="G147" i="1" s="1"/>
  <c r="G146" i="1" s="1"/>
  <c r="E148" i="1"/>
  <c r="E147" i="1" s="1"/>
  <c r="E146" i="1" s="1"/>
  <c r="G145" i="1"/>
  <c r="F145" i="1"/>
  <c r="E145" i="1"/>
  <c r="E135" i="1"/>
  <c r="F137" i="1"/>
  <c r="G137" i="1"/>
  <c r="E137" i="1"/>
  <c r="E91" i="1"/>
  <c r="E90" i="1" s="1"/>
  <c r="F94" i="1"/>
  <c r="G94" i="1"/>
  <c r="F98" i="1"/>
  <c r="G98" i="1"/>
  <c r="F96" i="1"/>
  <c r="G96" i="1"/>
  <c r="G92" i="1"/>
  <c r="F92" i="1"/>
  <c r="F90" i="1"/>
  <c r="G90" i="1"/>
  <c r="E94" i="1"/>
  <c r="E92" i="1"/>
  <c r="E109" i="1"/>
  <c r="E108" i="1"/>
  <c r="E81" i="1"/>
  <c r="E79" i="1" s="1"/>
  <c r="E78" i="1"/>
  <c r="E98" i="1"/>
  <c r="E111" i="1"/>
  <c r="E102" i="1"/>
  <c r="E89" i="1"/>
  <c r="E96" i="1"/>
  <c r="E85" i="1"/>
  <c r="E74" i="1"/>
  <c r="E100" i="1"/>
  <c r="E61" i="1"/>
  <c r="F33" i="1"/>
  <c r="E33" i="1"/>
  <c r="E32" i="1"/>
  <c r="E646" i="1" l="1"/>
  <c r="E643" i="1"/>
  <c r="E645" i="1" l="1"/>
  <c r="F352" i="1" l="1"/>
  <c r="G352" i="1"/>
  <c r="F350" i="1"/>
  <c r="G350" i="1"/>
  <c r="F348" i="1"/>
  <c r="G348" i="1"/>
  <c r="F346" i="1"/>
  <c r="G346" i="1"/>
  <c r="G641" i="1"/>
  <c r="F641" i="1"/>
  <c r="G630" i="1"/>
  <c r="F630" i="1"/>
  <c r="G459" i="1"/>
  <c r="F459" i="1"/>
  <c r="G392" i="1"/>
  <c r="F392" i="1"/>
  <c r="G418" i="1"/>
  <c r="F418" i="1"/>
  <c r="G321" i="1"/>
  <c r="F710" i="1"/>
  <c r="F712" i="1"/>
  <c r="F726" i="1"/>
  <c r="F743" i="1"/>
  <c r="F740" i="1"/>
  <c r="F737" i="1"/>
  <c r="F733" i="1"/>
  <c r="F724" i="1"/>
  <c r="G525" i="1"/>
  <c r="F525" i="1"/>
  <c r="E525" i="1"/>
  <c r="G523" i="1"/>
  <c r="F523" i="1"/>
  <c r="E523" i="1"/>
  <c r="G733" i="1"/>
  <c r="G712" i="1"/>
  <c r="G710" i="1"/>
  <c r="G726" i="1"/>
  <c r="G720" i="1"/>
  <c r="G743" i="1"/>
  <c r="G740" i="1"/>
  <c r="G737" i="1"/>
  <c r="G509" i="1"/>
  <c r="G508" i="1" s="1"/>
  <c r="F509" i="1"/>
  <c r="F508" i="1" s="1"/>
  <c r="E509" i="1"/>
  <c r="E508" i="1" s="1"/>
  <c r="G724" i="1"/>
  <c r="G379" i="1" l="1"/>
  <c r="F379" i="1"/>
  <c r="G377" i="1"/>
  <c r="F377" i="1"/>
  <c r="G323" i="1" l="1"/>
  <c r="G303" i="1"/>
  <c r="F303" i="1"/>
  <c r="G261" i="1"/>
  <c r="F261" i="1"/>
  <c r="G254" i="1"/>
  <c r="F254" i="1"/>
  <c r="G250" i="1"/>
  <c r="F250" i="1"/>
  <c r="G240" i="1"/>
  <c r="G231" i="1"/>
  <c r="F231" i="1"/>
  <c r="F229" i="1"/>
  <c r="G134" i="1"/>
  <c r="F134" i="1"/>
  <c r="G126" i="1"/>
  <c r="F126" i="1"/>
  <c r="G51" i="1"/>
  <c r="F51" i="1"/>
  <c r="G46" i="1"/>
  <c r="G45" i="1"/>
  <c r="F46" i="1"/>
  <c r="F45" i="1"/>
  <c r="G43" i="1"/>
  <c r="G40" i="1"/>
  <c r="F40" i="1"/>
  <c r="G44" i="1" l="1"/>
  <c r="E481" i="1" l="1"/>
  <c r="F425" i="1"/>
  <c r="G425" i="1"/>
  <c r="E425" i="1"/>
  <c r="E522" i="1"/>
  <c r="E550" i="1"/>
  <c r="E343" i="1" l="1"/>
  <c r="E335" i="1"/>
  <c r="E329" i="1"/>
  <c r="E303" i="1"/>
  <c r="E232" i="1"/>
  <c r="F77" i="1"/>
  <c r="G77" i="1"/>
  <c r="F717" i="1"/>
  <c r="G717" i="1"/>
  <c r="E717" i="1"/>
  <c r="E710" i="1"/>
  <c r="E459" i="1"/>
  <c r="E690" i="1"/>
  <c r="E665" i="1"/>
  <c r="E663" i="1"/>
  <c r="E658" i="1"/>
  <c r="E786" i="1"/>
  <c r="E743" i="1"/>
  <c r="E740" i="1"/>
  <c r="E737" i="1"/>
  <c r="E733" i="1"/>
  <c r="F636" i="1"/>
  <c r="G636" i="1"/>
  <c r="E636" i="1"/>
  <c r="E630" i="1"/>
  <c r="E617" i="1"/>
  <c r="E614" i="1"/>
  <c r="E615" i="1"/>
  <c r="F557" i="1"/>
  <c r="G557" i="1"/>
  <c r="E557" i="1"/>
  <c r="F555" i="1"/>
  <c r="G555" i="1"/>
  <c r="E555" i="1"/>
  <c r="E552" i="1" l="1"/>
  <c r="E551" i="1" s="1"/>
  <c r="E548" i="1"/>
  <c r="F545" i="1" l="1"/>
  <c r="G545" i="1"/>
  <c r="E545" i="1"/>
  <c r="E544" i="1"/>
  <c r="F531" i="1"/>
  <c r="G531" i="1"/>
  <c r="E531" i="1"/>
  <c r="E528" i="1"/>
  <c r="F521" i="1"/>
  <c r="F520" i="1" s="1"/>
  <c r="F519" i="1" s="1"/>
  <c r="G521" i="1"/>
  <c r="G520" i="1" s="1"/>
  <c r="G519" i="1" s="1"/>
  <c r="E521" i="1"/>
  <c r="F517" i="1"/>
  <c r="G517" i="1"/>
  <c r="F515" i="1"/>
  <c r="G515" i="1"/>
  <c r="E517" i="1"/>
  <c r="E515" i="1"/>
  <c r="F513" i="1"/>
  <c r="G513" i="1"/>
  <c r="E513" i="1"/>
  <c r="E499" i="1"/>
  <c r="E488" i="1"/>
  <c r="E465" i="1"/>
  <c r="E463" i="1" s="1"/>
  <c r="E449" i="1"/>
  <c r="E390" i="1"/>
  <c r="E379" i="1"/>
  <c r="E377" i="1"/>
  <c r="F373" i="1"/>
  <c r="G373" i="1"/>
  <c r="E373" i="1"/>
  <c r="E368" i="1"/>
  <c r="F225" i="1"/>
  <c r="E225" i="1"/>
  <c r="E134" i="1"/>
  <c r="E126" i="1"/>
  <c r="E768" i="1"/>
  <c r="E724" i="1"/>
  <c r="E594" i="1"/>
  <c r="G405" i="1"/>
  <c r="F403" i="1"/>
  <c r="G403" i="1"/>
  <c r="E405" i="1"/>
  <c r="E403" i="1"/>
  <c r="E392" i="1"/>
  <c r="E353" i="1"/>
  <c r="E351" i="1"/>
  <c r="E349" i="1"/>
  <c r="E347" i="1"/>
  <c r="E345" i="1"/>
  <c r="E341" i="1"/>
  <c r="E339" i="1"/>
  <c r="E337" i="1"/>
  <c r="E333" i="1"/>
  <c r="E331" i="1"/>
  <c r="E327" i="1"/>
  <c r="F302" i="1"/>
  <c r="F301" i="1" s="1"/>
  <c r="F300" i="1" s="1"/>
  <c r="G302" i="1"/>
  <c r="G301" i="1" s="1"/>
  <c r="G300" i="1" s="1"/>
  <c r="E302" i="1"/>
  <c r="E301" i="1" s="1"/>
  <c r="E300" i="1" s="1"/>
  <c r="E261" i="1"/>
  <c r="E254" i="1"/>
  <c r="E234" i="1"/>
  <c r="E231" i="1"/>
  <c r="E229" i="1"/>
  <c r="E512" i="1" l="1"/>
  <c r="E507" i="1" s="1"/>
  <c r="G512" i="1"/>
  <c r="G507" i="1" s="1"/>
  <c r="F512" i="1"/>
  <c r="F507" i="1" s="1"/>
  <c r="F160" i="1"/>
  <c r="G160" i="1"/>
  <c r="E160" i="1"/>
  <c r="E73" i="1"/>
  <c r="E51" i="1"/>
  <c r="E46" i="1"/>
  <c r="E45" i="1"/>
  <c r="E40" i="1"/>
  <c r="F562" i="1" l="1"/>
  <c r="G562" i="1"/>
  <c r="E562" i="1"/>
  <c r="F527" i="1"/>
  <c r="G527" i="1"/>
  <c r="E527" i="1"/>
  <c r="E520" i="1" s="1"/>
  <c r="E519" i="1" s="1"/>
  <c r="E56" i="1"/>
  <c r="E55" i="1"/>
  <c r="F755" i="1"/>
  <c r="F754" i="1" s="1"/>
  <c r="G755" i="1"/>
  <c r="G754" i="1" s="1"/>
  <c r="E755" i="1"/>
  <c r="E754" i="1" s="1"/>
  <c r="E352" i="1"/>
  <c r="E350" i="1"/>
  <c r="E348" i="1"/>
  <c r="E346" i="1"/>
  <c r="F342" i="1"/>
  <c r="G342" i="1"/>
  <c r="F344" i="1"/>
  <c r="G344" i="1"/>
  <c r="E344" i="1"/>
  <c r="E342" i="1"/>
  <c r="F336" i="1" l="1"/>
  <c r="G336" i="1"/>
  <c r="F338" i="1"/>
  <c r="G338" i="1"/>
  <c r="F340" i="1"/>
  <c r="G340" i="1"/>
  <c r="E340" i="1"/>
  <c r="E338" i="1"/>
  <c r="E336" i="1"/>
  <c r="F330" i="1"/>
  <c r="G330" i="1"/>
  <c r="F332" i="1"/>
  <c r="G332" i="1"/>
  <c r="F334" i="1"/>
  <c r="G334" i="1"/>
  <c r="E334" i="1"/>
  <c r="E332" i="1"/>
  <c r="E330" i="1"/>
  <c r="F166" i="1"/>
  <c r="F165" i="1" s="1"/>
  <c r="G166" i="1"/>
  <c r="G165" i="1" s="1"/>
  <c r="E166" i="1"/>
  <c r="E165" i="1" s="1"/>
  <c r="F82" i="1"/>
  <c r="G82" i="1"/>
  <c r="F84" i="1"/>
  <c r="G84" i="1"/>
  <c r="E84" i="1"/>
  <c r="E82" i="1"/>
  <c r="G164" i="1" l="1"/>
  <c r="F164" i="1"/>
  <c r="E164" i="1"/>
  <c r="F72" i="1" l="1"/>
  <c r="G72" i="1"/>
  <c r="E72" i="1"/>
  <c r="E23" i="1"/>
  <c r="E21" i="1"/>
  <c r="E19" i="1"/>
  <c r="F662" i="1"/>
  <c r="G662" i="1"/>
  <c r="F664" i="1"/>
  <c r="G664" i="1"/>
  <c r="E664" i="1"/>
  <c r="E662" i="1"/>
  <c r="E77" i="1"/>
  <c r="F378" i="1"/>
  <c r="G378" i="1"/>
  <c r="E378" i="1"/>
  <c r="F376" i="1"/>
  <c r="G376" i="1"/>
  <c r="E376" i="1"/>
  <c r="F367" i="1"/>
  <c r="F366" i="1" s="1"/>
  <c r="G367" i="1"/>
  <c r="G366" i="1" s="1"/>
  <c r="E367" i="1"/>
  <c r="E366" i="1" s="1"/>
  <c r="F593" i="1"/>
  <c r="F592" i="1" s="1"/>
  <c r="F591" i="1" s="1"/>
  <c r="G593" i="1"/>
  <c r="G592" i="1" s="1"/>
  <c r="G591" i="1" s="1"/>
  <c r="E593" i="1"/>
  <c r="E592" i="1" s="1"/>
  <c r="E591" i="1" s="1"/>
  <c r="F230" i="1"/>
  <c r="G230" i="1"/>
  <c r="E230" i="1"/>
  <c r="F657" i="1"/>
  <c r="F656" i="1" s="1"/>
  <c r="F655" i="1" s="1"/>
  <c r="G657" i="1"/>
  <c r="G656" i="1" s="1"/>
  <c r="G655" i="1" s="1"/>
  <c r="E657" i="1"/>
  <c r="E656" i="1" s="1"/>
  <c r="E655" i="1" s="1"/>
  <c r="F785" i="1"/>
  <c r="F784" i="1" s="1"/>
  <c r="F783" i="1" s="1"/>
  <c r="G785" i="1"/>
  <c r="G784" i="1" s="1"/>
  <c r="G783" i="1" s="1"/>
  <c r="E785" i="1"/>
  <c r="E784" i="1" s="1"/>
  <c r="E783" i="1" s="1"/>
  <c r="F415" i="1"/>
  <c r="G415" i="1"/>
  <c r="F417" i="1"/>
  <c r="G417" i="1"/>
  <c r="E417" i="1"/>
  <c r="E415" i="1"/>
  <c r="F389" i="1"/>
  <c r="G389" i="1"/>
  <c r="E389" i="1"/>
  <c r="F391" i="1"/>
  <c r="G391" i="1"/>
  <c r="E391" i="1"/>
  <c r="E107" i="1"/>
  <c r="E679" i="1"/>
  <c r="E612" i="1"/>
  <c r="E132" i="1"/>
  <c r="E15" i="1"/>
  <c r="F222" i="1"/>
  <c r="G222" i="1"/>
  <c r="E222" i="1"/>
  <c r="E220" i="1"/>
  <c r="G225" i="1"/>
  <c r="F66" i="1"/>
  <c r="F65" i="1" s="1"/>
  <c r="F64" i="1" s="1"/>
  <c r="F63" i="1" s="1"/>
  <c r="F62" i="1" s="1"/>
  <c r="G66" i="1"/>
  <c r="G65" i="1" s="1"/>
  <c r="G64" i="1" s="1"/>
  <c r="G63" i="1" s="1"/>
  <c r="G62" i="1" s="1"/>
  <c r="E66" i="1"/>
  <c r="E65" i="1" s="1"/>
  <c r="E64" i="1" s="1"/>
  <c r="E63" i="1" s="1"/>
  <c r="E62" i="1" s="1"/>
  <c r="F318" i="1"/>
  <c r="G318" i="1"/>
  <c r="E318" i="1"/>
  <c r="F285" i="1"/>
  <c r="G285" i="1"/>
  <c r="E285" i="1"/>
  <c r="E236" i="1"/>
  <c r="F216" i="1"/>
  <c r="G216" i="1"/>
  <c r="E216" i="1"/>
  <c r="E388" i="1" l="1"/>
  <c r="E387" i="1" s="1"/>
  <c r="G661" i="1"/>
  <c r="G660" i="1" s="1"/>
  <c r="G659" i="1" s="1"/>
  <c r="F661" i="1"/>
  <c r="F660" i="1" s="1"/>
  <c r="F659" i="1" s="1"/>
  <c r="E661" i="1"/>
  <c r="E660" i="1" s="1"/>
  <c r="E659" i="1" s="1"/>
  <c r="F388" i="1"/>
  <c r="F387" i="1" s="1"/>
  <c r="G388" i="1"/>
  <c r="G387" i="1" s="1"/>
  <c r="E60" i="1"/>
  <c r="E59" i="1" s="1"/>
  <c r="E58" i="1" s="1"/>
  <c r="F60" i="1"/>
  <c r="F59" i="1" s="1"/>
  <c r="F58" i="1" s="1"/>
  <c r="G60" i="1"/>
  <c r="G59" i="1" s="1"/>
  <c r="G58" i="1" s="1"/>
  <c r="E480" i="1"/>
  <c r="E479" i="1" s="1"/>
  <c r="E478" i="1" s="1"/>
  <c r="E477" i="1" s="1"/>
  <c r="E476" i="1" s="1"/>
  <c r="E475" i="1" s="1"/>
  <c r="F480" i="1"/>
  <c r="F479" i="1" s="1"/>
  <c r="F478" i="1" s="1"/>
  <c r="F477" i="1" s="1"/>
  <c r="F476" i="1" s="1"/>
  <c r="F475" i="1" s="1"/>
  <c r="G480" i="1"/>
  <c r="G479" i="1" s="1"/>
  <c r="G478" i="1" s="1"/>
  <c r="G477" i="1" s="1"/>
  <c r="G476" i="1" s="1"/>
  <c r="G475" i="1" s="1"/>
  <c r="F89" i="1"/>
  <c r="G89" i="1"/>
  <c r="G107" i="1" l="1"/>
  <c r="F107" i="1"/>
  <c r="G118" i="1"/>
  <c r="G117" i="1" s="1"/>
  <c r="G116" i="1" s="1"/>
  <c r="G115" i="1" s="1"/>
  <c r="F118" i="1"/>
  <c r="F117" i="1" s="1"/>
  <c r="F116" i="1" s="1"/>
  <c r="F115" i="1" s="1"/>
  <c r="E118" i="1"/>
  <c r="E117" i="1" s="1"/>
  <c r="E116" i="1" s="1"/>
  <c r="E115" i="1" s="1"/>
  <c r="G113" i="1"/>
  <c r="G112" i="1" s="1"/>
  <c r="F113" i="1"/>
  <c r="F112" i="1" s="1"/>
  <c r="E113" i="1"/>
  <c r="E112" i="1" s="1"/>
  <c r="E106" i="1" l="1"/>
  <c r="E105" i="1" s="1"/>
  <c r="E104" i="1" s="1"/>
  <c r="F106" i="1"/>
  <c r="F105" i="1" s="1"/>
  <c r="F104" i="1" s="1"/>
  <c r="G106" i="1"/>
  <c r="G105" i="1" s="1"/>
  <c r="G104" i="1" s="1"/>
  <c r="G241" i="1"/>
  <c r="F241" i="1"/>
  <c r="E241" i="1"/>
  <c r="G239" i="1"/>
  <c r="F239" i="1"/>
  <c r="E239" i="1"/>
  <c r="G220" i="1"/>
  <c r="F220" i="1"/>
  <c r="G796" i="1"/>
  <c r="G795" i="1" s="1"/>
  <c r="G794" i="1" s="1"/>
  <c r="G793" i="1" s="1"/>
  <c r="F796" i="1"/>
  <c r="F795" i="1" s="1"/>
  <c r="F794" i="1" s="1"/>
  <c r="F793" i="1" s="1"/>
  <c r="E796" i="1"/>
  <c r="E795" i="1" s="1"/>
  <c r="E794" i="1" s="1"/>
  <c r="E793" i="1" s="1"/>
  <c r="G725" i="1"/>
  <c r="F725" i="1"/>
  <c r="E725" i="1"/>
  <c r="G719" i="1"/>
  <c r="F719" i="1"/>
  <c r="E719" i="1"/>
  <c r="G723" i="1"/>
  <c r="F723" i="1"/>
  <c r="E723" i="1"/>
  <c r="G711" i="1"/>
  <c r="F711" i="1"/>
  <c r="E711" i="1"/>
  <c r="G709" i="1"/>
  <c r="F709" i="1"/>
  <c r="E709" i="1"/>
  <c r="G707" i="1"/>
  <c r="F707" i="1"/>
  <c r="E707" i="1"/>
  <c r="G472" i="1"/>
  <c r="G471" i="1" s="1"/>
  <c r="G470" i="1" s="1"/>
  <c r="G469" i="1" s="1"/>
  <c r="G468" i="1" s="1"/>
  <c r="F472" i="1"/>
  <c r="F471" i="1" s="1"/>
  <c r="F470" i="1" s="1"/>
  <c r="F469" i="1" s="1"/>
  <c r="F468" i="1" s="1"/>
  <c r="E472" i="1"/>
  <c r="E471" i="1" s="1"/>
  <c r="E470" i="1" s="1"/>
  <c r="E469" i="1" s="1"/>
  <c r="E468" i="1" s="1"/>
  <c r="G463" i="1"/>
  <c r="G462" i="1" s="1"/>
  <c r="G461" i="1" s="1"/>
  <c r="G460" i="1" s="1"/>
  <c r="F463" i="1"/>
  <c r="F462" i="1" s="1"/>
  <c r="F461" i="1" s="1"/>
  <c r="F460" i="1" s="1"/>
  <c r="E462" i="1"/>
  <c r="E461" i="1" s="1"/>
  <c r="E460" i="1" s="1"/>
  <c r="G458" i="1"/>
  <c r="G457" i="1" s="1"/>
  <c r="G456" i="1" s="1"/>
  <c r="G455" i="1" s="1"/>
  <c r="F458" i="1"/>
  <c r="F457" i="1" s="1"/>
  <c r="F456" i="1" s="1"/>
  <c r="F455" i="1" s="1"/>
  <c r="E458" i="1"/>
  <c r="E457" i="1" s="1"/>
  <c r="E456" i="1" s="1"/>
  <c r="E455" i="1" s="1"/>
  <c r="G452" i="1"/>
  <c r="F452" i="1"/>
  <c r="E452" i="1"/>
  <c r="G448" i="1"/>
  <c r="F448" i="1"/>
  <c r="E448" i="1"/>
  <c r="G446" i="1"/>
  <c r="F446" i="1"/>
  <c r="E446" i="1"/>
  <c r="G442" i="1"/>
  <c r="F442" i="1"/>
  <c r="E442" i="1"/>
  <c r="G440" i="1"/>
  <c r="F440" i="1"/>
  <c r="E440" i="1"/>
  <c r="G438" i="1"/>
  <c r="F438" i="1"/>
  <c r="E438" i="1"/>
  <c r="G436" i="1"/>
  <c r="F436" i="1"/>
  <c r="E436" i="1"/>
  <c r="G434" i="1"/>
  <c r="F434" i="1"/>
  <c r="E434" i="1"/>
  <c r="G432" i="1"/>
  <c r="F432" i="1"/>
  <c r="E432" i="1"/>
  <c r="G430" i="1"/>
  <c r="F430" i="1"/>
  <c r="E430" i="1"/>
  <c r="G428" i="1"/>
  <c r="F428" i="1"/>
  <c r="E428" i="1"/>
  <c r="G423" i="1"/>
  <c r="F423" i="1"/>
  <c r="E423" i="1"/>
  <c r="G421" i="1"/>
  <c r="F421" i="1"/>
  <c r="E421" i="1"/>
  <c r="G397" i="1"/>
  <c r="F397" i="1"/>
  <c r="E397" i="1"/>
  <c r="G296" i="1"/>
  <c r="G295" i="1" s="1"/>
  <c r="F296" i="1"/>
  <c r="F295" i="1" s="1"/>
  <c r="E296" i="1"/>
  <c r="E295" i="1" s="1"/>
  <c r="G276" i="1"/>
  <c r="G275" i="1" s="1"/>
  <c r="G274" i="1" s="1"/>
  <c r="G269" i="1" s="1"/>
  <c r="F276" i="1"/>
  <c r="F275" i="1" s="1"/>
  <c r="F274" i="1" s="1"/>
  <c r="F269" i="1" s="1"/>
  <c r="E276" i="1"/>
  <c r="E275" i="1" s="1"/>
  <c r="E274" i="1" s="1"/>
  <c r="E269" i="1" s="1"/>
  <c r="E419" i="1" l="1"/>
  <c r="F419" i="1"/>
  <c r="G419" i="1"/>
  <c r="F716" i="1"/>
  <c r="F715" i="1" s="1"/>
  <c r="G716" i="1"/>
  <c r="G715" i="1" s="1"/>
  <c r="E716" i="1"/>
  <c r="E715" i="1" s="1"/>
  <c r="F238" i="1"/>
  <c r="F237" i="1" s="1"/>
  <c r="E238" i="1"/>
  <c r="E237" i="1" s="1"/>
  <c r="G238" i="1"/>
  <c r="G237" i="1" s="1"/>
  <c r="F722" i="1"/>
  <c r="F721" i="1" s="1"/>
  <c r="E722" i="1"/>
  <c r="E721" i="1" s="1"/>
  <c r="G722" i="1"/>
  <c r="G721" i="1" s="1"/>
  <c r="E706" i="1"/>
  <c r="E705" i="1" s="1"/>
  <c r="E704" i="1" s="1"/>
  <c r="F706" i="1"/>
  <c r="F705" i="1" s="1"/>
  <c r="F704" i="1" s="1"/>
  <c r="G706" i="1"/>
  <c r="G705" i="1" s="1"/>
  <c r="G704" i="1" s="1"/>
  <c r="F454" i="1"/>
  <c r="E454" i="1"/>
  <c r="G454" i="1"/>
  <c r="G383" i="1"/>
  <c r="F383" i="1"/>
  <c r="E383" i="1"/>
  <c r="G381" i="1"/>
  <c r="F381" i="1"/>
  <c r="E381" i="1"/>
  <c r="G371" i="1"/>
  <c r="G370" i="1" s="1"/>
  <c r="F371" i="1"/>
  <c r="F370" i="1" s="1"/>
  <c r="E371" i="1"/>
  <c r="E370" i="1" s="1"/>
  <c r="G314" i="1"/>
  <c r="F314" i="1"/>
  <c r="E314" i="1"/>
  <c r="G293" i="1"/>
  <c r="G292" i="1" s="1"/>
  <c r="G291" i="1" s="1"/>
  <c r="F293" i="1"/>
  <c r="F292" i="1" s="1"/>
  <c r="F291" i="1" s="1"/>
  <c r="E293" i="1"/>
  <c r="E292" i="1" s="1"/>
  <c r="E291" i="1" s="1"/>
  <c r="G144" i="1"/>
  <c r="G143" i="1" s="1"/>
  <c r="G142" i="1" s="1"/>
  <c r="G141" i="1" s="1"/>
  <c r="G140" i="1" s="1"/>
  <c r="F144" i="1"/>
  <c r="F143" i="1" s="1"/>
  <c r="F142" i="1" s="1"/>
  <c r="F141" i="1" s="1"/>
  <c r="F140" i="1" s="1"/>
  <c r="E144" i="1"/>
  <c r="E143" i="1" s="1"/>
  <c r="E142" i="1" s="1"/>
  <c r="E141" i="1" s="1"/>
  <c r="E140" i="1" s="1"/>
  <c r="E380" i="1" l="1"/>
  <c r="G380" i="1"/>
  <c r="F380" i="1"/>
  <c r="G714" i="1"/>
  <c r="F714" i="1"/>
  <c r="E714" i="1"/>
  <c r="E369" i="1" l="1"/>
  <c r="F369" i="1"/>
  <c r="G369" i="1"/>
  <c r="G401" i="1" l="1"/>
  <c r="G396" i="1" s="1"/>
  <c r="F401" i="1"/>
  <c r="F396" i="1" s="1"/>
  <c r="E401" i="1"/>
  <c r="E396" i="1" s="1"/>
  <c r="G328" i="1"/>
  <c r="F328" i="1"/>
  <c r="E328" i="1"/>
  <c r="G326" i="1"/>
  <c r="F326" i="1"/>
  <c r="E326" i="1"/>
  <c r="G324" i="1"/>
  <c r="F324" i="1"/>
  <c r="E324" i="1"/>
  <c r="G322" i="1"/>
  <c r="F322" i="1"/>
  <c r="E322" i="1"/>
  <c r="G320" i="1"/>
  <c r="F320" i="1"/>
  <c r="E320" i="1"/>
  <c r="G312" i="1"/>
  <c r="F312" i="1"/>
  <c r="E312" i="1"/>
  <c r="G310" i="1"/>
  <c r="F310" i="1"/>
  <c r="E310" i="1"/>
  <c r="G308" i="1"/>
  <c r="F308" i="1"/>
  <c r="E308" i="1"/>
  <c r="G306" i="1"/>
  <c r="G305" i="1" s="1"/>
  <c r="F306" i="1"/>
  <c r="E306" i="1"/>
  <c r="G281" i="1"/>
  <c r="G280" i="1" s="1"/>
  <c r="F281" i="1"/>
  <c r="F280" i="1" s="1"/>
  <c r="E281" i="1"/>
  <c r="E280" i="1" s="1"/>
  <c r="G265" i="1"/>
  <c r="F265" i="1"/>
  <c r="E265" i="1"/>
  <c r="G263" i="1"/>
  <c r="F263" i="1"/>
  <c r="E263" i="1"/>
  <c r="G260" i="1"/>
  <c r="G257" i="1" s="1"/>
  <c r="F260" i="1"/>
  <c r="F257" i="1" s="1"/>
  <c r="E260" i="1"/>
  <c r="E257" i="1" s="1"/>
  <c r="G253" i="1"/>
  <c r="F253" i="1"/>
  <c r="E253" i="1"/>
  <c r="G249" i="1"/>
  <c r="F249" i="1"/>
  <c r="E249" i="1"/>
  <c r="G247" i="1"/>
  <c r="F247" i="1"/>
  <c r="E247" i="1"/>
  <c r="G235" i="1"/>
  <c r="F235" i="1"/>
  <c r="E235" i="1"/>
  <c r="G233" i="1"/>
  <c r="F233" i="1"/>
  <c r="E233" i="1"/>
  <c r="G228" i="1"/>
  <c r="F228" i="1"/>
  <c r="E228" i="1"/>
  <c r="G214" i="1"/>
  <c r="F214" i="1"/>
  <c r="E214" i="1"/>
  <c r="G212" i="1"/>
  <c r="F212" i="1"/>
  <c r="E212" i="1"/>
  <c r="G158" i="1"/>
  <c r="F158" i="1"/>
  <c r="E158" i="1"/>
  <c r="G156" i="1"/>
  <c r="F156" i="1"/>
  <c r="E156" i="1"/>
  <c r="G154" i="1"/>
  <c r="F154" i="1"/>
  <c r="E154" i="1"/>
  <c r="E305" i="1" l="1"/>
  <c r="F305" i="1"/>
  <c r="E304" i="1"/>
  <c r="E299" i="1" s="1"/>
  <c r="E298" i="1" s="1"/>
  <c r="E246" i="1"/>
  <c r="E245" i="1" s="1"/>
  <c r="E244" i="1" s="1"/>
  <c r="E211" i="1"/>
  <c r="E210" i="1" s="1"/>
  <c r="F211" i="1"/>
  <c r="F210" i="1" s="1"/>
  <c r="G211" i="1"/>
  <c r="G210" i="1" s="1"/>
  <c r="G395" i="1"/>
  <c r="G386" i="1" s="1"/>
  <c r="G385" i="1" s="1"/>
  <c r="F395" i="1"/>
  <c r="F386" i="1" s="1"/>
  <c r="F385" i="1" s="1"/>
  <c r="E153" i="1"/>
  <c r="E152" i="1" s="1"/>
  <c r="E151" i="1" s="1"/>
  <c r="E150" i="1" s="1"/>
  <c r="F153" i="1"/>
  <c r="F152" i="1" s="1"/>
  <c r="F151" i="1" s="1"/>
  <c r="F150" i="1" s="1"/>
  <c r="G153" i="1"/>
  <c r="G152" i="1" s="1"/>
  <c r="G151" i="1" s="1"/>
  <c r="G150" i="1" s="1"/>
  <c r="F279" i="1"/>
  <c r="F278" i="1" s="1"/>
  <c r="F268" i="1" s="1"/>
  <c r="G279" i="1"/>
  <c r="G278" i="1" s="1"/>
  <c r="G268" i="1" s="1"/>
  <c r="E395" i="1"/>
  <c r="E386" i="1" s="1"/>
  <c r="F262" i="1"/>
  <c r="F256" i="1" s="1"/>
  <c r="F255" i="1" s="1"/>
  <c r="G262" i="1"/>
  <c r="G256" i="1" s="1"/>
  <c r="G255" i="1" s="1"/>
  <c r="F246" i="1"/>
  <c r="F245" i="1" s="1"/>
  <c r="F244" i="1" s="1"/>
  <c r="E262" i="1"/>
  <c r="E256" i="1" s="1"/>
  <c r="E255" i="1" s="1"/>
  <c r="G246" i="1"/>
  <c r="G245" i="1" s="1"/>
  <c r="G244" i="1" s="1"/>
  <c r="E385" i="1" l="1"/>
  <c r="F163" i="1"/>
  <c r="F162" i="1" s="1"/>
  <c r="G163" i="1"/>
  <c r="G162" i="1" s="1"/>
  <c r="E163" i="1"/>
  <c r="E162" i="1" s="1"/>
  <c r="F304" i="1"/>
  <c r="G304" i="1"/>
  <c r="F243" i="1"/>
  <c r="E243" i="1"/>
  <c r="G243" i="1"/>
  <c r="F139" i="1" l="1"/>
  <c r="E139" i="1"/>
  <c r="F299" i="1"/>
  <c r="F298" i="1" s="1"/>
  <c r="F267" i="1" s="1"/>
  <c r="G299" i="1"/>
  <c r="G298" i="1" s="1"/>
  <c r="G267" i="1" s="1"/>
  <c r="G139" i="1"/>
  <c r="G741" i="1" l="1"/>
  <c r="F741" i="1"/>
  <c r="E741" i="1"/>
  <c r="G738" i="1"/>
  <c r="F738" i="1"/>
  <c r="E738" i="1"/>
  <c r="G735" i="1"/>
  <c r="F735" i="1"/>
  <c r="E735" i="1"/>
  <c r="G730" i="1"/>
  <c r="G729" i="1" s="1"/>
  <c r="F730" i="1"/>
  <c r="F729" i="1" s="1"/>
  <c r="E730" i="1"/>
  <c r="E729" i="1" s="1"/>
  <c r="G780" i="1"/>
  <c r="G777" i="1" s="1"/>
  <c r="F780" i="1"/>
  <c r="F777" i="1" s="1"/>
  <c r="E780" i="1"/>
  <c r="E777" i="1" s="1"/>
  <c r="G775" i="1"/>
  <c r="G774" i="1" s="1"/>
  <c r="F775" i="1"/>
  <c r="F774" i="1" s="1"/>
  <c r="E775" i="1"/>
  <c r="E774" i="1" s="1"/>
  <c r="E650" i="1"/>
  <c r="F650" i="1" s="1"/>
  <c r="G645" i="1"/>
  <c r="F645" i="1"/>
  <c r="G643" i="1"/>
  <c r="F643" i="1"/>
  <c r="G640" i="1"/>
  <c r="F640" i="1"/>
  <c r="G634" i="1"/>
  <c r="F634" i="1"/>
  <c r="E634" i="1"/>
  <c r="G632" i="1"/>
  <c r="F632" i="1"/>
  <c r="E632" i="1"/>
  <c r="G629" i="1"/>
  <c r="G628" i="1" s="1"/>
  <c r="F629" i="1"/>
  <c r="F628" i="1" s="1"/>
  <c r="E629" i="1"/>
  <c r="E628" i="1" s="1"/>
  <c r="G626" i="1"/>
  <c r="F626" i="1"/>
  <c r="E626" i="1"/>
  <c r="G624" i="1"/>
  <c r="F624" i="1"/>
  <c r="E624" i="1"/>
  <c r="G622" i="1"/>
  <c r="F622" i="1"/>
  <c r="E622" i="1"/>
  <c r="G620" i="1"/>
  <c r="F620" i="1"/>
  <c r="E620" i="1"/>
  <c r="E616" i="1"/>
  <c r="G616" i="1"/>
  <c r="F616" i="1"/>
  <c r="G613" i="1"/>
  <c r="F613" i="1"/>
  <c r="E613" i="1"/>
  <c r="G611" i="1"/>
  <c r="F611" i="1"/>
  <c r="E611" i="1"/>
  <c r="G587" i="1"/>
  <c r="G586" i="1" s="1"/>
  <c r="G585" i="1" s="1"/>
  <c r="G584" i="1" s="1"/>
  <c r="F587" i="1"/>
  <c r="F586" i="1" s="1"/>
  <c r="F585" i="1" s="1"/>
  <c r="F584" i="1" s="1"/>
  <c r="E587" i="1"/>
  <c r="E586" i="1" s="1"/>
  <c r="E585" i="1" s="1"/>
  <c r="E584" i="1" s="1"/>
  <c r="G579" i="1"/>
  <c r="F579" i="1"/>
  <c r="E579" i="1"/>
  <c r="G577" i="1"/>
  <c r="G576" i="1" s="1"/>
  <c r="F577" i="1"/>
  <c r="F576" i="1" s="1"/>
  <c r="E576" i="1"/>
  <c r="G574" i="1"/>
  <c r="F574" i="1"/>
  <c r="E574" i="1"/>
  <c r="G568" i="1"/>
  <c r="F568" i="1"/>
  <c r="E568" i="1"/>
  <c r="G566" i="1"/>
  <c r="F566" i="1"/>
  <c r="E566" i="1"/>
  <c r="G564" i="1"/>
  <c r="F564" i="1"/>
  <c r="E564" i="1"/>
  <c r="G560" i="1"/>
  <c r="F560" i="1"/>
  <c r="E560" i="1"/>
  <c r="G553" i="1"/>
  <c r="F553" i="1"/>
  <c r="E553" i="1"/>
  <c r="G551" i="1"/>
  <c r="F551" i="1"/>
  <c r="G549" i="1"/>
  <c r="F549" i="1"/>
  <c r="E549" i="1"/>
  <c r="G547" i="1"/>
  <c r="F547" i="1"/>
  <c r="E547" i="1"/>
  <c r="G543" i="1"/>
  <c r="F543" i="1"/>
  <c r="E543" i="1"/>
  <c r="G539" i="1"/>
  <c r="F539" i="1"/>
  <c r="E539" i="1"/>
  <c r="G537" i="1"/>
  <c r="F537" i="1"/>
  <c r="E537" i="1"/>
  <c r="E535" i="1"/>
  <c r="G535" i="1"/>
  <c r="F535" i="1"/>
  <c r="G533" i="1"/>
  <c r="F533" i="1"/>
  <c r="E533" i="1"/>
  <c r="G503" i="1"/>
  <c r="G500" i="1" s="1"/>
  <c r="F503" i="1"/>
  <c r="F500" i="1" s="1"/>
  <c r="E503" i="1"/>
  <c r="E500" i="1" s="1"/>
  <c r="G498" i="1"/>
  <c r="F498" i="1"/>
  <c r="E498" i="1"/>
  <c r="G495" i="1"/>
  <c r="F495" i="1"/>
  <c r="E495" i="1"/>
  <c r="G493" i="1"/>
  <c r="F493" i="1"/>
  <c r="E493" i="1"/>
  <c r="E487" i="1"/>
  <c r="E486" i="1" s="1"/>
  <c r="E485" i="1" s="1"/>
  <c r="G487" i="1"/>
  <c r="G486" i="1" s="1"/>
  <c r="G485" i="1" s="1"/>
  <c r="F487" i="1"/>
  <c r="F486" i="1" s="1"/>
  <c r="F485" i="1" s="1"/>
  <c r="G791" i="1"/>
  <c r="F791" i="1"/>
  <c r="E791" i="1"/>
  <c r="G789" i="1"/>
  <c r="F789" i="1"/>
  <c r="E789" i="1"/>
  <c r="G769" i="1"/>
  <c r="F769" i="1"/>
  <c r="E769" i="1"/>
  <c r="G767" i="1"/>
  <c r="F768" i="1"/>
  <c r="F767" i="1" s="1"/>
  <c r="E767" i="1"/>
  <c r="G759" i="1"/>
  <c r="G758" i="1" s="1"/>
  <c r="G757" i="1" s="1"/>
  <c r="G753" i="1" s="1"/>
  <c r="F759" i="1"/>
  <c r="F758" i="1" s="1"/>
  <c r="F757" i="1" s="1"/>
  <c r="F753" i="1" s="1"/>
  <c r="E759" i="1"/>
  <c r="E758" i="1" s="1"/>
  <c r="E757" i="1" s="1"/>
  <c r="E753" i="1" s="1"/>
  <c r="G749" i="1"/>
  <c r="G748" i="1" s="1"/>
  <c r="G747" i="1" s="1"/>
  <c r="G746" i="1" s="1"/>
  <c r="F749" i="1"/>
  <c r="F748" i="1" s="1"/>
  <c r="F747" i="1" s="1"/>
  <c r="F746" i="1" s="1"/>
  <c r="E749" i="1"/>
  <c r="E748" i="1" s="1"/>
  <c r="E747" i="1" s="1"/>
  <c r="E746" i="1" s="1"/>
  <c r="E745" i="1" s="1"/>
  <c r="E530" i="1" l="1"/>
  <c r="E773" i="1"/>
  <c r="E772" i="1" s="1"/>
  <c r="E631" i="1"/>
  <c r="E619" i="1"/>
  <c r="E610" i="1"/>
  <c r="G610" i="1"/>
  <c r="F610" i="1"/>
  <c r="F530" i="1"/>
  <c r="G530" i="1"/>
  <c r="F631" i="1"/>
  <c r="G631" i="1"/>
  <c r="E559" i="1"/>
  <c r="G766" i="1"/>
  <c r="G765" i="1" s="1"/>
  <c r="G752" i="1" s="1"/>
  <c r="G751" i="1" s="1"/>
  <c r="F766" i="1"/>
  <c r="F765" i="1" s="1"/>
  <c r="F752" i="1" s="1"/>
  <c r="F751" i="1" s="1"/>
  <c r="E788" i="1"/>
  <c r="E787" i="1" s="1"/>
  <c r="E782" i="1" s="1"/>
  <c r="F788" i="1"/>
  <c r="F787" i="1" s="1"/>
  <c r="F782" i="1" s="1"/>
  <c r="G788" i="1"/>
  <c r="G787" i="1" s="1"/>
  <c r="G782" i="1" s="1"/>
  <c r="G734" i="1"/>
  <c r="G728" i="1" s="1"/>
  <c r="G727" i="1" s="1"/>
  <c r="G713" i="1" s="1"/>
  <c r="F773" i="1"/>
  <c r="F772" i="1" s="1"/>
  <c r="E734" i="1"/>
  <c r="E728" i="1" s="1"/>
  <c r="E727" i="1" s="1"/>
  <c r="E713" i="1" s="1"/>
  <c r="F734" i="1"/>
  <c r="F728" i="1" s="1"/>
  <c r="F727" i="1" s="1"/>
  <c r="F713" i="1" s="1"/>
  <c r="G773" i="1"/>
  <c r="G772" i="1" s="1"/>
  <c r="G639" i="1"/>
  <c r="F619" i="1"/>
  <c r="F639" i="1"/>
  <c r="G619" i="1"/>
  <c r="G650" i="1"/>
  <c r="G649" i="1" s="1"/>
  <c r="F649" i="1"/>
  <c r="E649" i="1"/>
  <c r="E573" i="1"/>
  <c r="F559" i="1"/>
  <c r="F573" i="1"/>
  <c r="G559" i="1"/>
  <c r="E492" i="1"/>
  <c r="E491" i="1" s="1"/>
  <c r="E484" i="1" s="1"/>
  <c r="E483" i="1" s="1"/>
  <c r="G492" i="1"/>
  <c r="G491" i="1" s="1"/>
  <c r="G484" i="1" s="1"/>
  <c r="F492" i="1"/>
  <c r="F491" i="1" s="1"/>
  <c r="G573" i="1"/>
  <c r="E766" i="1"/>
  <c r="E765" i="1" s="1"/>
  <c r="E752" i="1" s="1"/>
  <c r="E751" i="1" s="1"/>
  <c r="F745" i="1"/>
  <c r="G745" i="1"/>
  <c r="E572" i="1" l="1"/>
  <c r="E571" i="1" s="1"/>
  <c r="E570" i="1" s="1"/>
  <c r="G572" i="1"/>
  <c r="G571" i="1" s="1"/>
  <c r="G570" i="1" s="1"/>
  <c r="F572" i="1"/>
  <c r="F571" i="1" s="1"/>
  <c r="F570" i="1" s="1"/>
  <c r="E638" i="1"/>
  <c r="E609" i="1" s="1"/>
  <c r="E608" i="1" s="1"/>
  <c r="E607" i="1" s="1"/>
  <c r="F484" i="1"/>
  <c r="F483" i="1" s="1"/>
  <c r="G483" i="1"/>
  <c r="E771" i="1"/>
  <c r="E744" i="1" s="1"/>
  <c r="G771" i="1"/>
  <c r="G744" i="1" s="1"/>
  <c r="F771" i="1"/>
  <c r="F744" i="1" s="1"/>
  <c r="G638" i="1"/>
  <c r="G609" i="1" s="1"/>
  <c r="G608" i="1" s="1"/>
  <c r="G607" i="1" s="1"/>
  <c r="F638" i="1"/>
  <c r="F609" i="1" s="1"/>
  <c r="F608" i="1" s="1"/>
  <c r="F607" i="1" s="1"/>
  <c r="G529" i="1"/>
  <c r="G506" i="1" s="1"/>
  <c r="E529" i="1"/>
  <c r="E506" i="1" s="1"/>
  <c r="F529" i="1"/>
  <c r="F506" i="1" s="1"/>
  <c r="F505" i="1" l="1"/>
  <c r="E505" i="1"/>
  <c r="G505" i="1"/>
  <c r="G801" i="1"/>
  <c r="G800" i="1" s="1"/>
  <c r="G799" i="1" s="1"/>
  <c r="G798" i="1" s="1"/>
  <c r="F801" i="1"/>
  <c r="F800" i="1" s="1"/>
  <c r="F799" i="1" s="1"/>
  <c r="F798" i="1" s="1"/>
  <c r="E801" i="1"/>
  <c r="E800" i="1" s="1"/>
  <c r="E799" i="1" s="1"/>
  <c r="E798" i="1" s="1"/>
  <c r="G702" i="1"/>
  <c r="F702" i="1"/>
  <c r="E702" i="1"/>
  <c r="G700" i="1"/>
  <c r="G699" i="1" s="1"/>
  <c r="F700" i="1"/>
  <c r="F699" i="1" s="1"/>
  <c r="E700" i="1"/>
  <c r="E699" i="1" s="1"/>
  <c r="G696" i="1"/>
  <c r="G695" i="1" s="1"/>
  <c r="G694" i="1" s="1"/>
  <c r="F696" i="1"/>
  <c r="F695" i="1" s="1"/>
  <c r="F694" i="1" s="1"/>
  <c r="E696" i="1"/>
  <c r="E695" i="1" s="1"/>
  <c r="E694" i="1" s="1"/>
  <c r="G605" i="1"/>
  <c r="F605" i="1"/>
  <c r="E605" i="1"/>
  <c r="G603" i="1"/>
  <c r="F603" i="1"/>
  <c r="E603" i="1"/>
  <c r="G601" i="1"/>
  <c r="F601" i="1"/>
  <c r="E601" i="1"/>
  <c r="G597" i="1"/>
  <c r="G596" i="1" s="1"/>
  <c r="G595" i="1" s="1"/>
  <c r="F597" i="1"/>
  <c r="F596" i="1" s="1"/>
  <c r="F595" i="1" s="1"/>
  <c r="E597" i="1"/>
  <c r="E596" i="1" s="1"/>
  <c r="E595" i="1" s="1"/>
  <c r="E698" i="1" l="1"/>
  <c r="E693" i="1" s="1"/>
  <c r="E600" i="1"/>
  <c r="E599" i="1" s="1"/>
  <c r="F600" i="1"/>
  <c r="F599" i="1" s="1"/>
  <c r="F590" i="1" s="1"/>
  <c r="G600" i="1"/>
  <c r="G599" i="1" s="1"/>
  <c r="F698" i="1"/>
  <c r="F693" i="1" s="1"/>
  <c r="G698" i="1"/>
  <c r="G590" i="1" l="1"/>
  <c r="G589" i="1" s="1"/>
  <c r="G482" i="1" s="1"/>
  <c r="F589" i="1"/>
  <c r="F482" i="1" s="1"/>
  <c r="E590" i="1"/>
  <c r="E589" i="1" s="1"/>
  <c r="E482" i="1" s="1"/>
  <c r="G693" i="1"/>
  <c r="G691" i="1"/>
  <c r="F691" i="1"/>
  <c r="E691" i="1"/>
  <c r="G689" i="1"/>
  <c r="F689" i="1"/>
  <c r="E689" i="1"/>
  <c r="G686" i="1"/>
  <c r="F686" i="1"/>
  <c r="E686" i="1"/>
  <c r="G684" i="1"/>
  <c r="F684" i="1"/>
  <c r="E684" i="1"/>
  <c r="G681" i="1"/>
  <c r="F681" i="1"/>
  <c r="E681" i="1"/>
  <c r="G678" i="1"/>
  <c r="F678" i="1"/>
  <c r="E678" i="1"/>
  <c r="G674" i="1"/>
  <c r="G673" i="1" s="1"/>
  <c r="G672" i="1" s="1"/>
  <c r="F674" i="1"/>
  <c r="F673" i="1" s="1"/>
  <c r="F672" i="1" s="1"/>
  <c r="E674" i="1"/>
  <c r="E673" i="1" s="1"/>
  <c r="E672" i="1" s="1"/>
  <c r="E668" i="1"/>
  <c r="E667" i="1" s="1"/>
  <c r="G668" i="1"/>
  <c r="G667" i="1" s="1"/>
  <c r="G666" i="1" s="1"/>
  <c r="F668" i="1"/>
  <c r="F667" i="1" s="1"/>
  <c r="F666" i="1" s="1"/>
  <c r="G135" i="1"/>
  <c r="F135" i="1"/>
  <c r="G132" i="1"/>
  <c r="G131" i="1" s="1"/>
  <c r="F132" i="1"/>
  <c r="F131" i="1" s="1"/>
  <c r="E131" i="1"/>
  <c r="G129" i="1"/>
  <c r="F129" i="1"/>
  <c r="E129" i="1"/>
  <c r="G125" i="1"/>
  <c r="G124" i="1" s="1"/>
  <c r="G123" i="1" s="1"/>
  <c r="F125" i="1"/>
  <c r="F124" i="1" s="1"/>
  <c r="F123" i="1" s="1"/>
  <c r="E125" i="1"/>
  <c r="E124" i="1" s="1"/>
  <c r="E123" i="1" s="1"/>
  <c r="F654" i="1" l="1"/>
  <c r="F653" i="1" s="1"/>
  <c r="G654" i="1"/>
  <c r="G653" i="1" s="1"/>
  <c r="E666" i="1"/>
  <c r="E654" i="1" s="1"/>
  <c r="F683" i="1"/>
  <c r="E677" i="1"/>
  <c r="G133" i="1"/>
  <c r="F133" i="1"/>
  <c r="F128" i="1" s="1"/>
  <c r="E133" i="1"/>
  <c r="G677" i="1"/>
  <c r="F688" i="1"/>
  <c r="F677" i="1"/>
  <c r="E688" i="1"/>
  <c r="G683" i="1"/>
  <c r="G688" i="1"/>
  <c r="E683" i="1"/>
  <c r="F127" i="1" l="1"/>
  <c r="F122" i="1" s="1"/>
  <c r="F121" i="1" s="1"/>
  <c r="F120" i="1" s="1"/>
  <c r="G128" i="1"/>
  <c r="G127" i="1" s="1"/>
  <c r="G122" i="1" s="1"/>
  <c r="G121" i="1" s="1"/>
  <c r="G120" i="1" s="1"/>
  <c r="E128" i="1"/>
  <c r="E127" i="1" s="1"/>
  <c r="E122" i="1" s="1"/>
  <c r="E121" i="1" s="1"/>
  <c r="E120" i="1" s="1"/>
  <c r="E653" i="1"/>
  <c r="E676" i="1"/>
  <c r="E671" i="1" s="1"/>
  <c r="F676" i="1"/>
  <c r="F671" i="1" s="1"/>
  <c r="F670" i="1" s="1"/>
  <c r="F652" i="1" s="1"/>
  <c r="G676" i="1"/>
  <c r="G671" i="1" s="1"/>
  <c r="G670" i="1" s="1"/>
  <c r="G652" i="1" s="1"/>
  <c r="E670" i="1" l="1"/>
  <c r="E652" i="1" s="1"/>
  <c r="E31" i="1"/>
  <c r="F88" i="1" l="1"/>
  <c r="G88" i="1"/>
  <c r="E88" i="1"/>
  <c r="G70" i="1"/>
  <c r="F70" i="1"/>
  <c r="E70" i="1"/>
  <c r="F57" i="1"/>
  <c r="G57" i="1"/>
  <c r="E57" i="1"/>
  <c r="G56" i="1"/>
  <c r="F56" i="1"/>
  <c r="G55" i="1"/>
  <c r="F55" i="1"/>
  <c r="F79" i="1"/>
  <c r="G81" i="1"/>
  <c r="G79" i="1" s="1"/>
  <c r="G50" i="1"/>
  <c r="G49" i="1" s="1"/>
  <c r="G48" i="1" s="1"/>
  <c r="G47" i="1" s="1"/>
  <c r="F50" i="1"/>
  <c r="F49" i="1" s="1"/>
  <c r="F48" i="1" s="1"/>
  <c r="F47" i="1" s="1"/>
  <c r="E50" i="1"/>
  <c r="E49" i="1" s="1"/>
  <c r="E48" i="1" s="1"/>
  <c r="E47" i="1" s="1"/>
  <c r="F44" i="1"/>
  <c r="E44" i="1"/>
  <c r="G41" i="1"/>
  <c r="F41" i="1"/>
  <c r="E41" i="1"/>
  <c r="G39" i="1"/>
  <c r="F39" i="1"/>
  <c r="E39" i="1"/>
  <c r="G37" i="1"/>
  <c r="F37" i="1"/>
  <c r="E37" i="1"/>
  <c r="G31" i="1"/>
  <c r="F31" i="1"/>
  <c r="G14" i="1"/>
  <c r="G13" i="1" s="1"/>
  <c r="G12" i="1" s="1"/>
  <c r="F14" i="1"/>
  <c r="F13" i="1" s="1"/>
  <c r="F12" i="1" s="1"/>
  <c r="E14" i="1"/>
  <c r="E13" i="1" s="1"/>
  <c r="E12" i="1" s="1"/>
  <c r="G86" i="1"/>
  <c r="F86" i="1"/>
  <c r="E86" i="1"/>
  <c r="G27" i="1"/>
  <c r="F27" i="1"/>
  <c r="E27" i="1"/>
  <c r="G24" i="1"/>
  <c r="F24" i="1"/>
  <c r="E24" i="1"/>
  <c r="G22" i="1"/>
  <c r="F22" i="1"/>
  <c r="E22" i="1"/>
  <c r="G20" i="1"/>
  <c r="F20" i="1"/>
  <c r="E20" i="1"/>
  <c r="G18" i="1"/>
  <c r="F18" i="1"/>
  <c r="E18" i="1"/>
  <c r="G69" i="1" l="1"/>
  <c r="E69" i="1"/>
  <c r="E68" i="1" s="1"/>
  <c r="F69" i="1"/>
  <c r="E36" i="1"/>
  <c r="E30" i="1" s="1"/>
  <c r="E29" i="1" s="1"/>
  <c r="E279" i="1" s="1"/>
  <c r="E17" i="1"/>
  <c r="E16" i="1" s="1"/>
  <c r="G54" i="1"/>
  <c r="G53" i="1" s="1"/>
  <c r="G52" i="1" s="1"/>
  <c r="F54" i="1"/>
  <c r="F53" i="1" s="1"/>
  <c r="F52" i="1" s="1"/>
  <c r="E54" i="1"/>
  <c r="E53" i="1" s="1"/>
  <c r="E52" i="1" s="1"/>
  <c r="G36" i="1"/>
  <c r="G30" i="1" s="1"/>
  <c r="G29" i="1" s="1"/>
  <c r="F36" i="1"/>
  <c r="F30" i="1" s="1"/>
  <c r="F29" i="1" s="1"/>
  <c r="G17" i="1"/>
  <c r="G16" i="1" s="1"/>
  <c r="F17" i="1"/>
  <c r="F16" i="1" s="1"/>
  <c r="E278" i="1" l="1"/>
  <c r="E268" i="1" s="1"/>
  <c r="E267" i="1" s="1"/>
  <c r="E11" i="1"/>
  <c r="G68" i="1"/>
  <c r="G11" i="1" s="1"/>
  <c r="G804" i="1" s="1"/>
  <c r="F68" i="1"/>
  <c r="F11" i="1" s="1"/>
  <c r="F804" i="1" s="1"/>
  <c r="E80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Власова Татьяна</author>
  </authors>
  <commentList>
    <comment ref="E54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Власова Татьяна:</t>
        </r>
        <r>
          <rPr>
            <sz val="9"/>
            <color indexed="81"/>
            <rFont val="Tahoma"/>
            <family val="2"/>
            <charset val="204"/>
          </rPr>
          <t xml:space="preserve">
ВР 622 +100 тр (с ВР 622)
</t>
        </r>
      </text>
    </comment>
  </commentList>
</comments>
</file>

<file path=xl/sharedStrings.xml><?xml version="1.0" encoding="utf-8"?>
<sst xmlns="http://schemas.openxmlformats.org/spreadsheetml/2006/main" count="2468" uniqueCount="754">
  <si>
    <t>тыс. рублей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</si>
  <si>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</si>
  <si>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</si>
  <si>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</si>
  <si>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</si>
  <si>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</si>
  <si>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</si>
  <si>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</si>
  <si>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</si>
  <si>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</si>
  <si>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</si>
  <si>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</si>
  <si>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</si>
  <si>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</si>
  <si>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</si>
  <si>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</si>
  <si>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</si>
  <si>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</si>
  <si>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</si>
  <si>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</si>
  <si>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</si>
  <si>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</si>
  <si>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</si>
  <si>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</si>
  <si>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</si>
  <si>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</si>
  <si>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</si>
  <si>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</si>
  <si>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</si>
  <si>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</si>
  <si>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</si>
  <si>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</si>
  <si>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</si>
  <si>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</si>
  <si>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</si>
  <si>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</si>
  <si>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</si>
  <si>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</si>
  <si>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</si>
  <si>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</si>
  <si>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</si>
  <si>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</si>
  <si>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</si>
  <si>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</si>
  <si>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</si>
  <si>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</si>
  <si>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</si>
  <si>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</si>
  <si>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Национальная экономика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</si>
  <si>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</si>
  <si>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</si>
  <si>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0500</t>
  </si>
  <si>
    <t xml:space="preserve">Жилищное  хозяйство </t>
  </si>
  <si>
    <t>0501</t>
  </si>
  <si>
    <t>03 0 00 00000</t>
  </si>
  <si>
    <t xml:space="preserve">Коммунальное хозяйство </t>
  </si>
  <si>
    <t>0502</t>
  </si>
  <si>
    <t xml:space="preserve">Благоустройство </t>
  </si>
  <si>
    <t>0503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</si>
  <si>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</si>
  <si>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</si>
  <si>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</si>
  <si>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</si>
  <si>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</si>
  <si>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</si>
  <si>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</si>
  <si>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</si>
  <si>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</si>
  <si>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</si>
  <si>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</si>
  <si>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</si>
  <si>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08 2 00 00000</t>
  </si>
  <si>
    <t>08 2 01 00000</t>
  </si>
  <si>
    <t>08 3 00 00000</t>
  </si>
  <si>
    <t>08 3 01 00000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</si>
  <si>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</si>
  <si>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</si>
  <si>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Плановый период</t>
  </si>
  <si>
    <t>00 1 00 87340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</si>
  <si>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</si>
  <si>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</si>
  <si>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</si>
  <si>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</si>
  <si>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03 3 00 00000</t>
  </si>
  <si>
    <t>Мероприятия в сфере мобилизационной подготовки</t>
  </si>
  <si>
    <t>00 0 00 00091</t>
  </si>
  <si>
    <t>2026 год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</si>
  <si>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</si>
  <si>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</si>
  <si>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</si>
  <si>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</si>
  <si>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</si>
  <si>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 образование</t>
  </si>
  <si>
    <t>0701</t>
  </si>
  <si>
    <t>Предоставление субсидий бюджетным, автономным учреждениям и иным некоммерческим организациям</t>
  </si>
  <si>
    <t>600</t>
  </si>
  <si>
    <t>05 0 00 00000</t>
  </si>
  <si>
    <t>05 2 00 00000</t>
  </si>
  <si>
    <t>05 2 01 00000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</si>
  <si>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</si>
  <si>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</si>
  <si>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</si>
  <si>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</si>
  <si>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</si>
  <si>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</si>
  <si>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</si>
  <si>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</si>
  <si>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</si>
  <si>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05 3 01 00000</t>
  </si>
  <si>
    <t>05 3 01 10590</t>
  </si>
  <si>
    <t>Другие вопросы  в области культуры, кинематографии</t>
  </si>
  <si>
    <t>0804</t>
  </si>
  <si>
    <t>Обслуживание  государственного 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</si>
  <si>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</si>
  <si>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</si>
  <si>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</si>
  <si>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</si>
  <si>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</si>
  <si>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</si>
  <si>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</si>
  <si>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</si>
  <si>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</si>
  <si>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</si>
  <si>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</si>
  <si>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00 0 00 80120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</si>
  <si>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</si>
  <si>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</si>
  <si>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</si>
  <si>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</si>
  <si>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</si>
  <si>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</si>
  <si>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>00 0 00 80100</t>
  </si>
  <si>
    <t>00 0 00 80130</t>
  </si>
  <si>
    <t>Расходы на финансирование муниципального гранта</t>
  </si>
  <si>
    <t>00 0 00 80140</t>
  </si>
  <si>
    <t>01 3 00 00000</t>
  </si>
  <si>
    <t>Охрана семьи и детства</t>
  </si>
  <si>
    <t>1004</t>
  </si>
  <si>
    <t xml:space="preserve">План </t>
  </si>
  <si>
    <t>Расходы на проведение общегородских конкурсов</t>
  </si>
  <si>
    <t>00 0 00 80160</t>
  </si>
  <si>
    <t>2027 год</t>
  </si>
  <si>
    <t>Обеспечение мероприятий национальных проектов, предусмотренных Указом Президента Российской Федерации, а также соглашений о предоставлении субсидий (иных межбюджетных трансфертов) из областного бюджета</t>
  </si>
  <si>
    <t>00 0 00 20020</t>
  </si>
  <si>
    <t>Комплексы процессных мероприятий</t>
  </si>
  <si>
    <t>Муниципальный проект города Благовещенска "Профилактика преступлений и правонарушений"</t>
  </si>
  <si>
    <t>Развитие аппаратно-программного комплекса "Безопасный город"</t>
  </si>
  <si>
    <t>08 2 01 11590</t>
  </si>
  <si>
    <t>08 3 01 10340</t>
  </si>
  <si>
    <t>Обеспечение функционирования муниципальной комплексной системы экстренного оповещения населения и информирования населения</t>
  </si>
  <si>
    <t>08 3 01 10350</t>
  </si>
  <si>
    <t>Обеспечение деятельности (оказание услуг, выполнение работ) муниципальных учреждений</t>
  </si>
  <si>
    <t>08 3 01 10590</t>
  </si>
  <si>
    <t xml:space="preserve">Муниципальная программа "Развитие и сохранение культуры в городе Благовещенске" </t>
  </si>
  <si>
    <t>Комплекс процессных мероприятий "Обеспечение функций исполнительно-распорядительного органа города Благовещенска и деятельности муниципальных учреждений в сфере культуры"</t>
  </si>
  <si>
    <t>Муниципальные проекты города Благовещенска</t>
  </si>
  <si>
    <t>Муниципальный проект города Благовещенска "Поддержка творческих инициатив в сфере культуры и искусства"</t>
  </si>
  <si>
    <t>Предоставления муниципального гранта в форме субсидии муниципальным учреждениям культуры и дополнительного образования в сфере культуры и искусства, социально ориентированным некоммерческим организациям на реализацию культурных социально значимых для города Благовещенска проектов</t>
  </si>
  <si>
    <t>05 2 01 80020</t>
  </si>
  <si>
    <t>Обеспечение функций исполнительно-распорядительного, контрольного органов муниципального образования</t>
  </si>
  <si>
    <t>05 3 01 00070</t>
  </si>
  <si>
    <t>05 3 02 00000</t>
  </si>
  <si>
    <t>Проведение текущего ремонта объектов историко-культурного наследия</t>
  </si>
  <si>
    <t>05 3 02 10070</t>
  </si>
  <si>
    <t>Проведение текущего ремонта объектов историко-культурного наследия муниципальными учреждениями</t>
  </si>
  <si>
    <t>05 3 02 10071</t>
  </si>
  <si>
    <t>Комплекс процессных мероприятий "Вознаграждения за заслуги в области культуры и искусства"</t>
  </si>
  <si>
    <t>05 3 03 00000</t>
  </si>
  <si>
    <t>Выплаты премий работникам муниципальных организаций культуры, внесшим значительный вклад в развитие культуры города Благовещенска</t>
  </si>
  <si>
    <t>Выплата премии муниципального образования города Благовещенска  в области культуры и искусства</t>
  </si>
  <si>
    <t>05 3 03 70110</t>
  </si>
  <si>
    <t>05 3 03  70110</t>
  </si>
  <si>
    <t>07 2 00 00000</t>
  </si>
  <si>
    <t>Муниципальный проект города Благовещенска "Поддержка молодежных инициатив"</t>
  </si>
  <si>
    <t>07 2 01 00000</t>
  </si>
  <si>
    <t>Финансовая поддержка некоммерческих организаций, осуществляющих деятельность, направленную на реализацию социально значимых проектов и мероприятий</t>
  </si>
  <si>
    <t>07 3 00 00000</t>
  </si>
  <si>
    <t>Комплекс процессных мероприятий "Реализация мероприятий в области муниципальной молодежной политики и обеспечение деятельности муниципальных учреждений"</t>
  </si>
  <si>
    <t>07 3 01 00000</t>
  </si>
  <si>
    <t>Проведение мероприятий по работе с молодежью</t>
  </si>
  <si>
    <t>07 3 01 10180</t>
  </si>
  <si>
    <t>Выплата премий в сфере молодежной политики</t>
  </si>
  <si>
    <t>07 3 01 10560</t>
  </si>
  <si>
    <t>Обеспечение деятельности (обеспечение услуг, выполнение работ) муниципальных учреждений</t>
  </si>
  <si>
    <t>07 3 01 10590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</si>
  <si>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</si>
  <si>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</si>
  <si>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</si>
  <si>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</si>
  <si>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</si>
  <si>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</si>
  <si>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06 2 00 00000</t>
  </si>
  <si>
    <t>06 2 02 00000</t>
  </si>
  <si>
    <t>06 3 00 00000</t>
  </si>
  <si>
    <t>Комплекс процессных мероприятий "Обеспечение условий для развития физической культуры и спорта и организация деятельности муниципальных учреждений в сфере физической культуры и спорта в городе Благовещенске"</t>
  </si>
  <si>
    <t>06 3 01 00000</t>
  </si>
  <si>
    <t>06 3 01 10590</t>
  </si>
  <si>
    <t>Массовый спорт</t>
  </si>
  <si>
    <t>1102</t>
  </si>
  <si>
    <t>1103</t>
  </si>
  <si>
    <t>Муниципальный проект города Благовещенска "Поддержка некоммерческих организаций в сфере физической культуры и спорта"</t>
  </si>
  <si>
    <t>06 2 03 00000</t>
  </si>
  <si>
    <t>Проведение физкультурно-оздоровительных и спортивных мероприятий</t>
  </si>
  <si>
    <t>06 3 01 10130</t>
  </si>
  <si>
    <t>Выплаты средств судьям, рабочим и спортсменам при проведении официальных физкультурных и спортивных мероприятий</t>
  </si>
  <si>
    <t>06 3 01 10140</t>
  </si>
  <si>
    <t>Спорт высших достижений</t>
  </si>
  <si>
    <t>Выплата премии муниципального образования города Благовещенска спортсменам и их тренерам за достижение высоких спортивных результатов</t>
  </si>
  <si>
    <t>06 3 01 10150</t>
  </si>
  <si>
    <t>Муниципальная программа "Развитие образования города Благовещенска"</t>
  </si>
  <si>
    <t>04 0 00 00000</t>
  </si>
  <si>
    <t>04 2 00 00000</t>
  </si>
  <si>
    <t>Муниципальный проект города Благовещенска "Модернизация систем дошкольного, общего и дополнительного образования"</t>
  </si>
  <si>
    <t>04 2 01 00000</t>
  </si>
  <si>
    <t>Благоустройство территорий дошкольных образовательных организаций</t>
  </si>
  <si>
    <t>04 2 01 S7650</t>
  </si>
  <si>
    <t>04 3 00 00000</t>
  </si>
  <si>
    <t>04 3 01 00000</t>
  </si>
  <si>
    <t>04 3 01 10590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</si>
  <si>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</si>
  <si>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04 3 01 S7740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</si>
  <si>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</si>
  <si>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04 3 01 88500</t>
  </si>
  <si>
    <t>04 3 03 00000</t>
  </si>
  <si>
    <t xml:space="preserve">Выплата единовременных социальных пособий работникам муниципальных образовательных учреждений </t>
  </si>
  <si>
    <t>04 3 03 10610</t>
  </si>
  <si>
    <t xml:space="preserve">Общее образование </t>
  </si>
  <si>
    <t>0702</t>
  </si>
  <si>
    <t>Муниципальные проекты</t>
  </si>
  <si>
    <t>04 1 00 00000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</si>
  <si>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</si>
  <si>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</si>
  <si>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Организация и проведение мероприятий по благоустройству территорий общеобразовательных организаций </t>
  </si>
  <si>
    <t>04 2 01 S8570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</si>
  <si>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</si>
  <si>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</si>
  <si>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04 3 01 10570</t>
  </si>
  <si>
    <t>Организация бесплатного питания обучающихся в муниципальных общеобразовательных организациях</t>
  </si>
  <si>
    <t>04 3 01 10594</t>
  </si>
  <si>
    <t>Предоставление бесплатного питания детям из малообеспеченных семей, обучающихся в муниципальных общеобразовательных организациях города Благовещенска</t>
  </si>
  <si>
    <t>04 3 01 10600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</si>
  <si>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</si>
  <si>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3 01 S7620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</si>
  <si>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</si>
  <si>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</si>
  <si>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04 3 01 80740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</si>
  <si>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</si>
  <si>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04 3 01 87820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</si>
  <si>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</si>
  <si>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04 3 01 89020</t>
  </si>
  <si>
    <t>Развитие кадрового потенциала муниципальных учреждений</t>
  </si>
  <si>
    <t>04 3 03 10020</t>
  </si>
  <si>
    <t>Выплата премии муниципального образования города Благовещенска одаренным детям, обучающимся в образовательных организациях</t>
  </si>
  <si>
    <t>04 3 03 10580</t>
  </si>
  <si>
    <t>Выплата единовременных социальных пособий работникам муниципальных образовательных учреждений</t>
  </si>
  <si>
    <t>Предоставление мер материального стимулирования гражданам, с которыми управлением образования администрации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</si>
  <si>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04 3 03 10632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</si>
  <si>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</si>
  <si>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</si>
  <si>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</si>
  <si>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04 3 01 10591</t>
  </si>
  <si>
    <t>Создание условий для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</si>
  <si>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04 3 01 10592</t>
  </si>
  <si>
    <t>Другие вопросы в области образования</t>
  </si>
  <si>
    <t>0709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</si>
  <si>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</si>
  <si>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04 3 01 87250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</si>
  <si>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</si>
  <si>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04 3 01 89030</t>
  </si>
  <si>
    <t>04 3 02 00000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</si>
  <si>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</si>
  <si>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04 3 02 11020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</si>
  <si>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</si>
  <si>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04 3 02 70000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</si>
  <si>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</si>
  <si>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04 3 02 87700</t>
  </si>
  <si>
    <t>Проведение мероприятий по организации отдыха детей в каникулярное время</t>
  </si>
  <si>
    <t>04 3 02 10040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</si>
  <si>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</si>
  <si>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04 3 02 S7500</t>
  </si>
  <si>
    <t>Развитие интеллектуального, творческого и физического потенциала всех категорий детей</t>
  </si>
  <si>
    <t>04 3 03 10050</t>
  </si>
  <si>
    <t>04 3 04 00000</t>
  </si>
  <si>
    <t>04 3 04 00070</t>
  </si>
  <si>
    <t>04 3 04 10590</t>
  </si>
  <si>
    <t>Обеспечение деятельности муниципальных учреждений в сфере бухгалтерского обслуживания</t>
  </si>
  <si>
    <t>04 3 04 10593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</si>
  <si>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</si>
  <si>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04 3 04 87300</t>
  </si>
  <si>
    <t>Распределение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бюджетов 
 на 2025 год и плановый период 2026 и 2027 годов</t>
  </si>
  <si>
    <t>0400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</si>
  <si>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</si>
  <si>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</si>
  <si>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</si>
  <si>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</si>
  <si>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02 3 00 00000</t>
  </si>
  <si>
    <t>02 3 01 00000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</si>
  <si>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</si>
  <si>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02 3 01 10761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</si>
  <si>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</si>
  <si>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02 3 01 60020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</si>
  <si>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</si>
  <si>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02 3 01 60040</t>
  </si>
  <si>
    <t>Дорожное хозяйство (дорожные фонды)</t>
  </si>
  <si>
    <t>0409</t>
  </si>
  <si>
    <t>02 1 00 00000</t>
  </si>
  <si>
    <t>02 2 00 00000</t>
  </si>
  <si>
    <t>Муниципальный проект города Благовещенска "Развитие улично-дорожной сети города Благовещенска"</t>
  </si>
  <si>
    <t>02 2 01 00000</t>
  </si>
  <si>
    <t>02 2 01 9Д001</t>
  </si>
  <si>
    <t>Капитальные вложения в объекты государственной (муниципальной) собственности</t>
  </si>
  <si>
    <t>02 2 01 9Д002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</si>
  <si>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</si>
  <si>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02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</si>
  <si>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(Строительство, реконструкция, капитальный ремонт и ремонт дорог)</t>
  </si>
  <si>
    <t>02 2 01 SД142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</si>
  <si>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(Приобретение, доставка, установка железобетонных (металлических) конструкций для устройства (усиления) дорожных одежд, элементов обустройства дороги, систем водоотвода)</t>
  </si>
  <si>
    <t>02 2 01 SД143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</si>
  <si>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</si>
  <si>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2 01 SД14С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</si>
  <si>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</si>
  <si>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</si>
  <si>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</si>
  <si>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</si>
  <si>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09 2 00 00000</t>
  </si>
  <si>
    <t>Муниципальный проект города Благовещенска "Поддержка субъектов малого и среднего предпринимательства"</t>
  </si>
  <si>
    <t>09 2 01 00000</t>
  </si>
  <si>
    <t>Организация и проведение мероприятий в целях поддержки социального предпринимательства</t>
  </si>
  <si>
    <t>09 2 01 10310</t>
  </si>
  <si>
    <t>Участие в экономических форумах, выставочно-ярмарочных и иных
мероприятиях в области повышения инвестиционной активности сферы МСП</t>
  </si>
  <si>
    <t>09 2 01 10320</t>
  </si>
  <si>
    <t>09 2 01 S0131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</si>
  <si>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</si>
  <si>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10 0 00 00000</t>
  </si>
  <si>
    <t>10 2 00 00000</t>
  </si>
  <si>
    <t>Муниципальный проект города Благовещенска "Обеспечение мероприятий по землеустройству и землепользованию"</t>
  </si>
  <si>
    <t>10 2 01 00000</t>
  </si>
  <si>
    <t>Выполнение кадастровых работ</t>
  </si>
  <si>
    <t>10 2 01 10240</t>
  </si>
  <si>
    <t>Проведение комплексных кадастровых работ</t>
  </si>
  <si>
    <t>10 2 01 L5110</t>
  </si>
  <si>
    <t>Муниципальный проект города Благовещенска "Развитие градостроительной деятельности на территории города Благовещенска"</t>
  </si>
  <si>
    <t>10 2 02 00000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</si>
  <si>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</t>
  </si>
  <si>
    <t>10 2 02 10501</t>
  </si>
  <si>
    <t>Организация деятельности, направленной на подготовку документации по планировке территории</t>
  </si>
  <si>
    <t>10 2 02 10502</t>
  </si>
  <si>
    <t xml:space="preserve">Жилищно-коммунальное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</si>
  <si>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 города Благовещенска"</t>
  </si>
  <si>
    <t>03 2 00 00000</t>
  </si>
  <si>
    <t>Муниципальный проект города Благовещенска "Капитальный ремонт жилищного фонда"</t>
  </si>
  <si>
    <t>03 2 02 00000</t>
  </si>
  <si>
    <t>Капитальный ремонт общего имущества МКД</t>
  </si>
  <si>
    <t>03 2 02 10220</t>
  </si>
  <si>
    <t>03 2 01 00000</t>
  </si>
  <si>
    <t>Разработка проектных и изыскательских работ по объекту : "Блочно-модульная котельная в 740 квартале г. Благовещенск, Амурская область"</t>
  </si>
  <si>
    <t>03 2 01 10711</t>
  </si>
  <si>
    <t>03 2 01 10712</t>
  </si>
  <si>
    <t>Ремонт сети теплоснабжения от ТК-192М до ТК194 (408 квартал)</t>
  </si>
  <si>
    <t>03 2 01 10713</t>
  </si>
  <si>
    <t>Строительство электрических сетей в районе "5-я стройка"</t>
  </si>
  <si>
    <t>03 2 01 10714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</si>
  <si>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направлений расходов R5052, R5053)</t>
  </si>
  <si>
    <t>03 2 01 L5051</t>
  </si>
  <si>
    <t>Расходы, направленные на модернизацию коммунальной инфраструктуры (прочие)</t>
  </si>
  <si>
    <t>03 2 01 S7401</t>
  </si>
  <si>
    <t>03 2 01 S7402</t>
  </si>
  <si>
    <t>Расходы, направленные на модернизацию коммунальной инфраструктуры (Ремонт водопроводной сети по ул. Горького от ул. Калинина до ул. Комсомольская)</t>
  </si>
  <si>
    <t>03 2 01 S7403</t>
  </si>
  <si>
    <t>Расходы, направленные на модернизацию коммунальной инфраструктуры (Ремонт тепловой сети по ул. Горького от ТК- 56 (ул. Комсомольская) до ТК- 146 (ул. Калинина)</t>
  </si>
  <si>
    <t>03 2 01 S7404</t>
  </si>
  <si>
    <t>Муниципальная программа "Формирование современной городской среды на территории города Благовещенска"</t>
  </si>
  <si>
    <t>11 0 00 00000</t>
  </si>
  <si>
    <t>11 2 00 00000</t>
  </si>
  <si>
    <t>Муниципальный проект города Благовещенска "Обеспечение проведения мероприятий по благоустройству территорий города Благовещенска"</t>
  </si>
  <si>
    <t>11 2 01 00000</t>
  </si>
  <si>
    <t>Ремонт площади Победы</t>
  </si>
  <si>
    <t>11 2 01 10781</t>
  </si>
  <si>
    <t>Сельское хозяйство и рыболовство</t>
  </si>
  <si>
    <t>0405</t>
  </si>
  <si>
    <t>Муниципальный проект города Благовещенска "Обеспечение эпизоотического благополучия на территории города Благовещенска"</t>
  </si>
  <si>
    <t>08 2 02 00000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</si>
  <si>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</si>
  <si>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08 2 02 69700</t>
  </si>
  <si>
    <t>Комплекс процессных мероприятий "Поддержка организаций, предоставляющих жилищные и бытовые услуги населению"</t>
  </si>
  <si>
    <t>03 3 02 00000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</si>
  <si>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</si>
  <si>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03 3 02 60120</t>
  </si>
  <si>
    <t>Текущий ремонт наружных сетей водоснабжения, водоотведения и теплоснабжения на территории города Благовещенска</t>
  </si>
  <si>
    <t>03 2 01 40921</t>
  </si>
  <si>
    <t>Комплекс процессных мероприятий "Обеспечение доступности коммунальных услуг, повышение качества и надежности коммунального обслуживания населения"</t>
  </si>
  <si>
    <t>03 3 01 00000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</si>
  <si>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</si>
  <si>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03 3 01 10540</t>
  </si>
  <si>
    <t>Расходы, связанные с организацией единой теплоснабжающей организацией теплоснабжения в ценовых зонах теплоснабжения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</si>
  <si>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</si>
  <si>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</si>
  <si>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Субсидии юридическим лицам, предоставляющим населению услуги в отделениях бань</t>
  </si>
  <si>
    <t>03 3 02 60150</t>
  </si>
  <si>
    <t>03 3 02 60360</t>
  </si>
  <si>
    <t>Расходы, направленные на ремонт общественных бань</t>
  </si>
  <si>
    <t>Комплекс процессных мероприятий "Обеспечение деятельности исполнительно-распорядительного, контрольного
органа муниципального образования в сфере управления и распоряжения имуществом, и учреждения,
осуществляющего функции в жилищной сфере"</t>
  </si>
  <si>
    <t>01 3 02 00000</t>
  </si>
  <si>
    <t>Содержание и ремонт муниципального жилья</t>
  </si>
  <si>
    <t>01 3 02 10230</t>
  </si>
  <si>
    <t>03 3 04 00000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</si>
  <si>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</si>
  <si>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11 2 01 10676</t>
  </si>
  <si>
    <t>11 3 00 00000</t>
  </si>
  <si>
    <t>Комплекс процессных мероприятий "Организация работ по благоустройству территории города Благовещенска"</t>
  </si>
  <si>
    <t>11 3 01 00000</t>
  </si>
  <si>
    <t>Обеспечение мероприятий по сносу, демонтажу зданий, строений, сооружений</t>
  </si>
  <si>
    <t>11 3 01 10490</t>
  </si>
  <si>
    <t>11 3 01 10770</t>
  </si>
  <si>
    <t>Обновление зеленой зоны города Благовещенска</t>
  </si>
  <si>
    <t>11 3 01 10800</t>
  </si>
  <si>
    <t>Осуществление технологического присоединения к электрическим сетям</t>
  </si>
  <si>
    <t>11 3 01 10811</t>
  </si>
  <si>
    <t>Подбор, вывоз и обезвреживание биологических отходов</t>
  </si>
  <si>
    <t>11 3 01 10812</t>
  </si>
  <si>
    <t>Оформление и оборудование территорий общего пользования города Благовещенска к празднованию Нового года</t>
  </si>
  <si>
    <t>11 3 01 10813</t>
  </si>
  <si>
    <t>Проведение лабораторных и инструментальных исследований воды и почвы на водных объектах городского округа</t>
  </si>
  <si>
    <t>11 3 01 10814</t>
  </si>
  <si>
    <t>Вывоз самовольно установленных объектов движимого имущества  и бесхозяйных, разукомплектованных транспортных средств</t>
  </si>
  <si>
    <t>11 3 01 10815</t>
  </si>
  <si>
    <t>Содержание и обслуживание средств видеонаблюдения общественных территорий</t>
  </si>
  <si>
    <t>11 3 01 10816</t>
  </si>
  <si>
    <t>Акарицидная обработка общественных территорий</t>
  </si>
  <si>
    <t>11 3 01 10817</t>
  </si>
  <si>
    <t>11 3 01 10818</t>
  </si>
  <si>
    <t>Содержание и уборка улиц, площадей, тротуаров, общественных территорий (за исключением придомовых территорий) и прочих элементов благоустройства</t>
  </si>
  <si>
    <t>11 3 01 10840</t>
  </si>
  <si>
    <t>Организация и содержание мест захоронения</t>
  </si>
  <si>
    <t>11 3 01 10860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</si>
  <si>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</si>
  <si>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11 3 01 60370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</si>
  <si>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</si>
  <si>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01 3 02 87630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</si>
  <si>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жилищно-коммунального хозяйства"</t>
  </si>
  <si>
    <t>03 3 03 00000</t>
  </si>
  <si>
    <t>03 3 03 00070</t>
  </si>
  <si>
    <t>10 3 00 00000</t>
  </si>
  <si>
    <t>Комплекс процессных мероприятий "Обеспечение деятельности технического заказчика по объектам капитального строительства муниципальной собственности"</t>
  </si>
  <si>
    <t>10 3 01 00000</t>
  </si>
  <si>
    <t>10 3 01 10590</t>
  </si>
  <si>
    <t>Охрана окружающей среды</t>
  </si>
  <si>
    <t>0600</t>
  </si>
  <si>
    <t>Другие вопросы в области охраны окружающей среды</t>
  </si>
  <si>
    <t>0605</t>
  </si>
  <si>
    <t>Уборка несанкционированных свалок</t>
  </si>
  <si>
    <t>11 3 01 10850</t>
  </si>
  <si>
    <t>01 2 00 00000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</si>
  <si>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</si>
  <si>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</si>
  <si>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</si>
  <si>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</si>
  <si>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Реализация мероприятий по обеспечению жильём молодых семей</t>
  </si>
  <si>
    <t>01 2 01 L4970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</si>
  <si>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</si>
  <si>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2 01 S0700</t>
  </si>
  <si>
    <t>01 3 01 00000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</si>
  <si>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</si>
  <si>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01 3 01 80710</t>
  </si>
  <si>
    <t>01 2 01 R0820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</si>
  <si>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</si>
  <si>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</si>
  <si>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01 3 01 87640</t>
  </si>
  <si>
    <t>Средства массовой  информации</t>
  </si>
  <si>
    <t>1200</t>
  </si>
  <si>
    <t>Телевидение и радиовещание</t>
  </si>
  <si>
    <t>1201</t>
  </si>
  <si>
    <t>Итого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</si>
  <si>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</si>
  <si>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2 01 9Д801</t>
  </si>
  <si>
    <t>Комплекс процессных мероприятий "Содержание улично-дорожной сети города Благовещенска"</t>
  </si>
  <si>
    <t>02 3 02 00000</t>
  </si>
  <si>
    <t>Содержание и ремонт дорог</t>
  </si>
  <si>
    <t>Содержание и обслуживание средств регулирования дорожного движения</t>
  </si>
  <si>
    <t>01 3 02 10590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</si>
  <si>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</si>
  <si>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03 3 04 10250</t>
  </si>
  <si>
    <t>01 3 02 00070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</si>
  <si>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Сети теплоснабжения к школе на 1200 мест в Северном планировочном районе г. Благовещенск, Амурская область)</t>
  </si>
  <si>
    <t>Реализация мероприятий в сфере реабилитации и абилитации инвалидов</t>
  </si>
  <si>
    <t>06 2 02 L5140</t>
  </si>
  <si>
    <t>Комплекс  процессных мероприятий "Обеспечение реализации программ дошкольного, общего и дополнительного образования детей"</t>
  </si>
  <si>
    <t>06 2 03 80021</t>
  </si>
  <si>
    <t>07 2 01 80021</t>
  </si>
  <si>
    <t>Благоустройство "Военно-мемориального
участка на действующем кладбище 17 км Новотроицкое шоссе"</t>
  </si>
  <si>
    <t>Комплекс процессных мероприятий "Совершенствование системы развития способностей и талантов детей и кадрового потенциала педагогических работников"</t>
  </si>
  <si>
    <t xml:space="preserve">Единовременная денежная выплата лицам, награжденным медалью "За заслуги перед городом Благовещенском" </t>
  </si>
  <si>
    <t xml:space="preserve">Обеспечение функционирования АПК "Безопасный город" </t>
  </si>
  <si>
    <t>Комплекс процессных мероприятий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</si>
  <si>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(ул. Молодёжная от ул. Центральной до ул. Энтузиастов)"</t>
  </si>
  <si>
    <t>Подготовка проектной документации и выполнение инженерных изысканий, выполнение работ по строительству объекта: "Ливневая канализация к школе 1200 мест в Северном планировочном районе г. Благовещенск, Амурская область"</t>
  </si>
  <si>
    <t>Комплекс процессных мероприятий "Обеспечение реализации программ дошкольного, общего и дополнительного образования детей"</t>
  </si>
  <si>
    <t>Комплекс процессных мероприятий "Система защиты прав детей и отдельных категорий граждан"</t>
  </si>
  <si>
    <t>Комплекс процессных мероприятий "Организация деятельности в сфере образования"</t>
  </si>
  <si>
    <t xml:space="preserve">Муниципальный проект
города Благовещенск "Обеспечение жильем отдельных категорий граждан" </t>
  </si>
  <si>
    <t>Комплекс процессных мероприятий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</si>
  <si>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Комплекс процессных мероприятий "Обеспечение функций исполнительно-распорядительного органа муниципального
образования города Благовещенска в сфере управления и распоряжения имуществом и деятельности муниципальных
учреждений"</t>
  </si>
  <si>
    <t>Муниципальный проект города Благовещенска "Содействие развитию физической культуры и спорта инвалидов, лиц с ограниченными возможностями здоровья"</t>
  </si>
  <si>
    <t>Автомобильная дорога по ул.Конная от  ул.Пушкина до ул.Набережная, г.Благовещенск, Амурская область (оплата за публичный сервитут)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</si>
  <si>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 (субсидия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оборудования)</t>
  </si>
  <si>
    <t>Комплекс процессных мероприятий "Обеспечение сохранности объектов историко-культурного наследия"</t>
  </si>
  <si>
    <t>05 3 03 10620</t>
  </si>
  <si>
    <t>Комплекс процессных мероприятий "Обеспечение функционирования системы защиты населения и территории города Благовещенска, безопасности людей на водных объектах, первичных мер пожарной безопасности и деятельности муниципальных учреждений в сфере гражданской обороны и чрезвычайных ситуаций"</t>
  </si>
  <si>
    <t>Приложение № 3
к решению Благовещенской 
городской Думы</t>
  </si>
  <si>
    <t>03 3 04 10550</t>
  </si>
  <si>
    <t>02 3 02 9Д003</t>
  </si>
  <si>
    <t>02 3 02 9Д004</t>
  </si>
  <si>
    <t>Комплекс процессных мероприятий "Обеспечение мероприятий по энергоэффективности и исполнению обязательств по взносам на капитальный ремонт"</t>
  </si>
  <si>
    <t>Благоустройство дворовых территорий многоквартирных домов</t>
  </si>
  <si>
    <t>от 05.12.2024 № 6/45</t>
  </si>
  <si>
    <t>"Приложение № 3
к решению Благовещенской 
городской Думы</t>
  </si>
  <si>
    <t>"</t>
  </si>
  <si>
    <t>Обустройство примыкания к автомобильной дороге по ул. Ленина на участке от ул.Политехническая до ул.Чайковского</t>
  </si>
  <si>
    <t>02 2 01 9Д005</t>
  </si>
  <si>
    <t>Разработка проектно-сметной документации на выполнение капитального ремонта общего имущества МКД</t>
  </si>
  <si>
    <t>03 2 02 10222</t>
  </si>
  <si>
    <t>Прочие затраты на содержание газовой котельной в Северном планировочном районе г.Благовещенска, Амурская область на период передачи в муниципальную собственность и заключения договора аренды с Единой теплоснабжающей организацией</t>
  </si>
  <si>
    <t>03 2 01 9Т001</t>
  </si>
  <si>
    <t>Прикладные научные исследования в области общегосударственных вопросов</t>
  </si>
  <si>
    <t>Орнитологические исследования</t>
  </si>
  <si>
    <t>0112</t>
  </si>
  <si>
    <t>11 3 01 10819</t>
  </si>
  <si>
    <t>Приобретение специализированной техники для содержания улично-дорожной сети города Благовещенска</t>
  </si>
  <si>
    <t>02 2 01 9Д803</t>
  </si>
  <si>
    <t>Приобретение, установка и обслуживание биоакустической системы отпугивателей птиц</t>
  </si>
  <si>
    <t>Изъятие земельного участка, расположенного в квартале 26 города Благовещенска, для размещения линейного объекта улично-дорожной сети</t>
  </si>
  <si>
    <t>02 2 01 9Д802</t>
  </si>
  <si>
    <t>800</t>
  </si>
  <si>
    <t>Муниципальный проект «Формирование комфортной городской среды (город Благовещенск)»</t>
  </si>
  <si>
    <t>Реализация программ формирования современной городской среды</t>
  </si>
  <si>
    <t>11 1 00 00000</t>
  </si>
  <si>
    <t>11 1 И4 00000</t>
  </si>
  <si>
    <t>11 1 И4 55550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</si>
  <si>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</si>
  <si>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11 1 И4 54240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</si>
  <si>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благоустройства дальневосточных дворов)</t>
  </si>
  <si>
    <t>Поддержка административного центра Амурской области</t>
  </si>
  <si>
    <t>11 2 01 L5052</t>
  </si>
  <si>
    <t>11 2 01 S0560</t>
  </si>
  <si>
    <t xml:space="preserve">Муниципальный проект города Благовещенска «Развитие спорта высших достижений на территории города Благовещенска» </t>
  </si>
  <si>
    <t>06 2 04 00000</t>
  </si>
  <si>
    <t>06 2 04 L0810</t>
  </si>
  <si>
    <t>Муниципальный проект "Семейные ценности и инфраструктура культуры"</t>
  </si>
  <si>
    <t>Создание модельных муниципальных библиотек</t>
  </si>
  <si>
    <t>05 1 00 00000</t>
  </si>
  <si>
    <t>05 1 Я5 00000</t>
  </si>
  <si>
    <t>05 1 Я5 54540</t>
  </si>
  <si>
    <t>Муниципальный проект "Россия - страна возможностей"</t>
  </si>
  <si>
    <t>Реализация программы комплексного развития молодежной политики в субъектах Российской Федерации "Регион для молодых"</t>
  </si>
  <si>
    <t>07 1 00 00000</t>
  </si>
  <si>
    <t>07 1 Ю1 00000</t>
  </si>
  <si>
    <t>07 1 Ю1 51160</t>
  </si>
  <si>
    <t>Муниципальный проект города Благовещенска «Ремонт общественных бань на территории города Благовещенска»</t>
  </si>
  <si>
    <t>03 2 03 00000</t>
  </si>
  <si>
    <t>03 2 03 S9050</t>
  </si>
  <si>
    <t>03 3 01 9Т700</t>
  </si>
  <si>
    <t>300</t>
  </si>
  <si>
    <t>03 3 01 SТ600</t>
  </si>
  <si>
    <t>Муниципальный проект города Благовещенска «Развитие инициативного бюджетирования в городе Благовещенске»</t>
  </si>
  <si>
    <t>Поддержка проектов развития территорий Амурской области, основанных на местных инициативах</t>
  </si>
  <si>
    <t>Поддержка проектов развития территорий Амурской области, основанных на местных инициативах (Обшивка северной и западной стены фасада здания Дома культуры, расположенного по адресу: с. Плодопитомник, ул. Центральная, 1)</t>
  </si>
  <si>
    <t>Поддержка проектов развития территорий Амурской области, основанных на местных инициативах (Благоустройство территории Дома культуры (устройство каналов водоотведения) с. Садовое, ул. Садовая, 1)</t>
  </si>
  <si>
    <t>05 2 02 00000</t>
  </si>
  <si>
    <t>05 2 02 10400</t>
  </si>
  <si>
    <t>05 2 02 10401</t>
  </si>
  <si>
    <t>05 2 02 10402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</si>
  <si>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</si>
  <si>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</si>
  <si>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</si>
  <si>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</si>
  <si>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Муниципальный проект «Региональная и местная дорожная сеть» (город Благовещенск)</t>
  </si>
  <si>
    <t>Осуществление дорожной деятельности в рамках реализации национального проекта "Инфраструктура для жизни"</t>
  </si>
  <si>
    <t>02 1 И8 00000</t>
  </si>
  <si>
    <t>02 1 И8 9Д11С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</si>
  <si>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строительству объекта: «Трансформаторная подстанция в районе Казарм»)</t>
  </si>
  <si>
    <t>Расходы, направленные на модернизацию коммунальной инфраструктуры (Ремонт водопровода по ул. Горького на пересечении ул. Артиллерийская-Новая–Загородная)</t>
  </si>
  <si>
    <t>Расходы, направленные на модернизацию коммунальной инфраструктуры (Ремонт водопровода ул. Мухина от ул. Пролетарская до ж/д переезда)</t>
  </si>
  <si>
    <t>03 2 01 S7405</t>
  </si>
  <si>
    <t>03 2 01 S7406</t>
  </si>
  <si>
    <t>03 2 01 S7407</t>
  </si>
  <si>
    <t>Расходы, направленные на модернизацию коммунальной инфраструктуры (Ремонт водопроводной камеры и колодца на пересечении ул. Островского - ул. Октябрьская)</t>
  </si>
  <si>
    <t>Расходы, направленные на модернизацию коммунальной инфраструктуры (Ремонт водопроводных колодцев по ул. Октябрьская от ул. Театральная до ул. 50 лет Октября, г.Благовещенск)</t>
  </si>
  <si>
    <t>Расходы, направленные на модернизацию коммунальной инфраструктуры (Ремонт канализационной сети с ремонтом канализационных колодцев по ул. Октябрьская от ул. Театральная до 50 лет Октября, г. Благовещенск)</t>
  </si>
  <si>
    <t>03 2 01 S7408</t>
  </si>
  <si>
    <t>03 2 01 S7409</t>
  </si>
  <si>
    <t>03 2 01 S7410</t>
  </si>
  <si>
    <t>Расходы, направленные на модернизацию коммунальной инфраструктуры (Ремонт канализационных колодцев по ул. 50 лет Октября, г. Благовещенск)</t>
  </si>
  <si>
    <t>Расходы, направленные на модернизацию коммунальной инфраструктуры (Ремонт канализационных колодцев по ул. Горького от ул. Комсомольская до ул. Загородная, г.Благовещенск)</t>
  </si>
  <si>
    <t>03 2 01 S7411</t>
  </si>
  <si>
    <t>03 2 01 S7412</t>
  </si>
  <si>
    <t>Расходы, направленные на модернизацию коммунальной инфраструктуры (Замена участка водопроводной сети по ул. 50 лет Октября от ул. Ленина до ул. Амурская г. Благовещенск Амурская область)</t>
  </si>
  <si>
    <t>Расходы, направленные на модернизацию коммунальной инфраструктуры (Ремонт тепловой сети по ул. Горького от ул. Комсомольская до ул. Мухина)</t>
  </si>
  <si>
    <t>Расходы, направленные на модернизацию коммунальной инфраструктуры (Ремонт тепловой сети по ул. Октябрьская в районе ул. Трудовая, г. Благовещенск)</t>
  </si>
  <si>
    <t>Расходы, направленные на модернизацию коммунальной инфраструктуры (Ремонт канализационного колодца ул. Октябрьская-ул. Островского)</t>
  </si>
  <si>
    <t>03 2 01 S7414</t>
  </si>
  <si>
    <t>03 2 01 S7415</t>
  </si>
  <si>
    <t>03 2 01 S7416</t>
  </si>
  <si>
    <t>03 2 01 S7417</t>
  </si>
  <si>
    <t>Создание школьного кафе в общеобразовательных организациях</t>
  </si>
  <si>
    <t>04 2 01 10920</t>
  </si>
  <si>
    <t>Финансовое обеспечение уставной деятельности общества с ограниченной ответственностью «Автоколонна 1275», 100%  долей которого принадлежит городскому округу городу Благовещенску, в виде вклада в имущество, не увеличивающего его уставной капитал</t>
  </si>
  <si>
    <t>02 3 01 60050</t>
  </si>
  <si>
    <t>Муниципальный проект «Модернизация коммунальной инфраструктуры (город Благовещенск)»</t>
  </si>
  <si>
    <t>Реализация мероприятий по модернизации коммунальной инфраструктуры</t>
  </si>
  <si>
    <t>03 1 00 00000</t>
  </si>
  <si>
    <t>03 1 И3 00000</t>
  </si>
  <si>
    <t>03 1 И3 51540</t>
  </si>
  <si>
    <t>Устройство детской универсальной спортивной площадки в с. Белогорье</t>
  </si>
  <si>
    <t>Ремонт лестничного марша с устройством освещения в с. Белогорье в районе  МАОУ «Школа № 24 г. Благовещенск"</t>
  </si>
  <si>
    <t>11 2 01 10782</t>
  </si>
  <si>
    <t>11 2 01 10783</t>
  </si>
  <si>
    <t>03 3 01 9Т200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</si>
  <si>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</si>
  <si>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04 1 Ю6 50500</t>
  </si>
  <si>
    <t>04 1 Ю6 51790</t>
  </si>
  <si>
    <t>04 1 Ю6 53030</t>
  </si>
  <si>
    <t>Муниципальный проект "Педагоги и наставники"</t>
  </si>
  <si>
    <t>04 1 Ю6 00000</t>
  </si>
  <si>
    <t>04 2 01 L3050</t>
  </si>
  <si>
    <t>04 3 01 R3040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</si>
  <si>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</si>
  <si>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04 3 01 80220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</si>
  <si>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</si>
  <si>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04 3 01 89040</t>
  </si>
  <si>
    <t>Предоставление мер социальной поддержки для граждан, заключивших договор о целевом обучении по образовательным программам среднего профессионального и высшего образования по педагогическим специальностям</t>
  </si>
  <si>
    <t>04 3 03 10603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</si>
  <si>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</si>
  <si>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01 2 01 88180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</si>
  <si>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</si>
  <si>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2 01 S8490</t>
  </si>
  <si>
    <t>Муниципальный проект "Все лучшее детям"</t>
  </si>
  <si>
    <t>04 1 Ю4 5750П</t>
  </si>
  <si>
    <t>Реализация мероприятий по модернизации школьных систем образования (муниципальное автономное общеобразовательное учреждение "Лицей № 6 города Благовещенска" Амурской области)</t>
  </si>
  <si>
    <t>04 1 Ю4 00000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</si>
  <si>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субъектов Российской Федерации, местных администраций </t>
    </r>
  </si>
  <si>
    <t>Осуществление дорожной деятельности в рамках реализации национального проекта "Инфраструктура для жизни" (осуществление строительного контроля, авторского надзора)</t>
  </si>
  <si>
    <t>02 1 И8 9Д110</t>
  </si>
  <si>
    <t>Муниципальный проект города Благовещенска "Развитие систем коммунальной инфраструктуры"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</si>
  <si>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</si>
  <si>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 2025 год</t>
  </si>
  <si>
    <t>Субсидия на финансовое обеспечение затрат некоммерческим организациям по нанесению муралов на фасады зданий</t>
  </si>
  <si>
    <t>00 0 00 80181</t>
  </si>
  <si>
    <t xml:space="preserve">Мероприятия в области социальной политики </t>
  </si>
  <si>
    <t>Субсидия на финансовое обеспечение затрат некоммерческим организациям на возведение стелы, посвящённой Воинам героям - участникам СВО</t>
  </si>
  <si>
    <t>Субсидия на финансовое обеспечение уставной деятельности автономной некоммерческой организации «Агентство мониторинговых исследований города Благовещенска»</t>
  </si>
  <si>
    <t>00 0 00 80170</t>
  </si>
  <si>
    <t>00 0 00 80180</t>
  </si>
  <si>
    <t>Субсидия на финансовое обеспечение затрат некоммерческим организациям на организацию выставки художественных работ</t>
  </si>
  <si>
    <t>00 0 00 80182</t>
  </si>
  <si>
    <t>08 3 01 10601</t>
  </si>
  <si>
    <t>Водное хозяйство</t>
  </si>
  <si>
    <t>Технологическое присоединение к централизованной системе водоотведения и холодного водоснабжения общественного туалета входящего в состав объекта «Берегоукрепление и реконструкция набережной р. Амур»</t>
  </si>
  <si>
    <t>0406</t>
  </si>
  <si>
    <t>00 0 00 40922</t>
  </si>
  <si>
    <t>Выполнение проектных и изыскательских работ по объекту "Дороги в районе "5-й  стройки" для обеспечения транспортной инфраструктурой земельных участков, представленных многодетным семьям (внутриквартальный проезд по ул. Энтузиастов от ул. Театральная до ул. Ромашковая) г. Благовещенск, Амурская область»</t>
  </si>
  <si>
    <t>02 2 01 9Д006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</si>
  <si>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Лазо до ул. Пушкина)</t>
  </si>
  <si>
    <t>02 1 И8 9Д111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</si>
  <si>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50 лет Октября от ул. Ленина до ул. Амурская)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</si>
  <si>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Калинина до ул. Мухина)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</si>
  <si>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Мухина до ул. Артиллерийская)</t>
  </si>
  <si>
    <t>02 1 И8 9Д112</t>
  </si>
  <si>
    <t>02 1 И8 9Д113</t>
  </si>
  <si>
    <t>02 1 И8 9Д114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</si>
  <si>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Чайковского до ул. Политехническая)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</si>
  <si>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Амурская от ул. Театральная до ул. Кузнечная)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</si>
  <si>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Театральная до ул. Кузнечной)</t>
  </si>
  <si>
    <t>02 1 И8 9Д115</t>
  </si>
  <si>
    <t>02 1 И8 9Д116</t>
  </si>
  <si>
    <t>02 1 И8 9Д117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</si>
  <si>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Кузнечная до ул. Трудовой)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</si>
  <si>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Трудовая до ул. Шимановского)</t>
  </si>
  <si>
    <t>02 1 И8 9Д118</t>
  </si>
  <si>
    <t>02 1 И8 9Д119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</si>
  <si>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Шимановского до ул. Островского)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</si>
  <si>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Островского до ул. 50 лет Октября)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</si>
  <si>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Мухина от ул. Пролетарская до ж/д переезда)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</si>
  <si>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Горького от ул. Артиллерийская до ул. Больничная)</t>
  </si>
  <si>
    <t>02 1 И8 9Д11А</t>
  </si>
  <si>
    <t>02 1 И8 9Д11Б</t>
  </si>
  <si>
    <t>02 1 И8 9Д11В</t>
  </si>
  <si>
    <t>02 1 И8 9Д11Г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</si>
  <si>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Загородная от ул. Горького до путепровода)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</si>
  <si>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Б.Хмельницкого до ул. Калинина)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</si>
  <si>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Шевченко до ул. Б.Хмельницкого)</t>
  </si>
  <si>
    <t>02 1 И8 9Д11Д</t>
  </si>
  <si>
    <t>02 1 И8 9Д11Е</t>
  </si>
  <si>
    <t>02 1 И8 9Д11Ж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</si>
  <si>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Пионерской до ул. Шевченко)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</si>
  <si>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Октябрьской от ул. 50 лет Октября до ул. Пионерской)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</si>
  <si>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Красноармейская от ул. Островского до ул. 50 лет Октября)</t>
  </si>
  <si>
    <t>02 1 И8 9Д11И</t>
  </si>
  <si>
    <t>02 1 И8 9Д11К</t>
  </si>
  <si>
    <t>02 1 И8 9Д11Л</t>
  </si>
  <si>
    <t>Осуществление дорожной деятельности в рамках реализации национального проекта "Инфраструктура для жизни" (Ремонт автомобильной дороги по ул. Ленина от ул. Первомайская до ул. Лазо)</t>
  </si>
  <si>
    <t>02 1 И8 9Д11М</t>
  </si>
  <si>
    <t>Оказание финансовой поддержки субъектам малого и среднего
предпринимательства на возмещение части затрат на ремонт, реновацию и
реконструкцию номерного фонда средств размещения, а также приобретение
строительных материалов</t>
  </si>
  <si>
    <t>09 2 01 60060</t>
  </si>
  <si>
    <t>Обследование технического состояния конструкций жилищного фонда</t>
  </si>
  <si>
    <t>03 2 02 10221</t>
  </si>
  <si>
    <t>Устройство ливневой канализации многоквартирного жилого дома, расположенного по адресу: г.Благовещенск, ул.Ленина, 148</t>
  </si>
  <si>
    <t>03 2 02 10223</t>
  </si>
  <si>
    <t>Ремонт жилых помещений ветеранов Великой Отечественной войны</t>
  </si>
  <si>
    <t>03 2 02 80270</t>
  </si>
  <si>
    <t>Муниципальный проект «Жилье (город Благовещенск)»</t>
  </si>
  <si>
    <t>Прочие мероприятия, осуществляемые за счет межбюджетных трансфертов прошлых лет из областного бюджета</t>
  </si>
  <si>
    <t>01 1 00 00000</t>
  </si>
  <si>
    <t>01 1 И2 00000</t>
  </si>
  <si>
    <t>01 1 И2 S8980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</si>
  <si>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</si>
  <si>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03 2 01 97002</t>
  </si>
  <si>
    <t>Расходы, направленные на модернизацию коммунальной инфраструктуры (Подготовка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 Благовещенск, Амурская область»)</t>
  </si>
  <si>
    <t>Расходы, направленные на модернизацию коммунальной инфраструктуры (Строительство объекта «Тепловая сеть от котельной 800 квартала (вдоль ул. 50 лет Октября от ул. Зеленая до ул. Шафира)")</t>
  </si>
  <si>
    <t>03 2 01 S7418</t>
  </si>
  <si>
    <t>03 2 01 S7419</t>
  </si>
  <si>
    <t>Расходы, направленные на модернизацию коммунальной инфраструктуры (Строительство тепловой сети в квартале 342 г. Благовещенска, Амурская область)</t>
  </si>
  <si>
    <t>Расходы, направленные на модернизацию коммунальной инфраструктуры (Выполнение проектных и изыскательских работ по объекту «Закольцовка водопроводной сети для подключения территории «Лазурный берег»)</t>
  </si>
  <si>
    <t>Расходы, направленные на модернизацию коммунальной инфраструктуры (Выполнение проектных и изыскательских работ по объекту «Реконструкция сетей водоотведения для подключения территории «Лазурный берег»)</t>
  </si>
  <si>
    <t>Расходы, направленные на модернизацию коммунальной инфраструктуры (Реконструкция ул. Краснофлотская от ул. Островского до ул. Театральная в г. Благовещенск, Амурская область (инженерные сети))</t>
  </si>
  <si>
    <t>03 2 01 S7420</t>
  </si>
  <si>
    <t>03 2 01 S7421</t>
  </si>
  <si>
    <t>03 2 01 S7422</t>
  </si>
  <si>
    <t>03 2 01 S7423</t>
  </si>
  <si>
    <t>Благоустройство территории военного госпиталя, расположенного по ул.Ленина, 172/4</t>
  </si>
  <si>
    <t xml:space="preserve">Перенос игрового комплекса с набережной р. Амур                  </t>
  </si>
  <si>
    <t>Установка игрового комплекса «Замок» на набережную р. Амур, берег 5 участок</t>
  </si>
  <si>
    <t>11 2 01 10784</t>
  </si>
  <si>
    <t>11 2 01 10785</t>
  </si>
  <si>
    <t>11 2 01 10786</t>
  </si>
  <si>
    <t>Приобретение оборудования для обустройства пляжей</t>
  </si>
  <si>
    <t>11 3 01 10820</t>
  </si>
  <si>
    <t>Проведение технического контроля при проведении работ по благоустройству дворовых территорий</t>
  </si>
  <si>
    <t>11 2 01 10771</t>
  </si>
  <si>
    <t>Cодержание санитарной службы (транспортировка тел (останков) умерших (погибших) от места их смерти в медицинские организации (морги))</t>
  </si>
  <si>
    <t>11 3 01 10870</t>
  </si>
  <si>
    <t>11 1 И4 А4240</t>
  </si>
  <si>
    <t>11 2 01 97002</t>
  </si>
  <si>
    <t>Предоставление бесплатного питания отдельным категориям обучающихся 1 – 4 классов в классах полного дня и группах продленного дня в муниципальных общеобразовательных организациях, расположенных на территории города Благовещенска</t>
  </si>
  <si>
    <t>04 3 01 10602</t>
  </si>
  <si>
    <t>Приобретение спортивного оборудования для игры в пляжный волейбол</t>
  </si>
  <si>
    <t>06 2 05 10160</t>
  </si>
  <si>
    <t>06 2 05 00000</t>
  </si>
  <si>
    <t>Муниципальный проект города Благовещенска "Развитие физической культуры и массового спорта в городе Благовещенске""</t>
  </si>
  <si>
    <t>Закупка и монтаж оборудования для создания "умных" спортивных площадок</t>
  </si>
  <si>
    <t>06 2 05 L7530</t>
  </si>
  <si>
    <t>(в ред. от  27.03.2025 № 10/29)</t>
  </si>
  <si>
    <t>Предоставление социальной поддержки отдельным категориям граждан по обеспечению автономными пожарными извещателями и замене в них элементов питания</t>
  </si>
  <si>
    <t>Субсидии юридическим лицам на возмещение недополученных доходов, в связи с предоставлением отдельным категориям граждан дополнительных мер социальной поддержки по оплате услуг по помывке в общих отделениях бань</t>
  </si>
  <si>
    <t>от   29.05.2025 № 13/59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</si>
</sst>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_-* #,##0.0\ _₽_-;\-* #,##0.0\ _₽_-;_-* &quot;-&quot;?\ _₽_-;_-@_-"/>
    <numFmt numFmtId="167" formatCode="?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8"/>
      <name val="Calibri"/>
      <family val="2"/>
      <charset val="204"/>
      <scheme val="minor"/>
    </font>
    <font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trike/>
      <sz val="12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112">
    <xf numFmtId="0" fontId="0" fillId="0" borderId="0" xfId="0"/>
    <xf numFmtId="164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164" fontId="5" fillId="0" borderId="0" xfId="0" applyNumberFormat="1" applyFont="1" applyAlignment="1">
      <alignment horizontal="left" vertical="top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center" vertical="top"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165" fontId="5" fillId="0" borderId="2" xfId="0" applyNumberFormat="1" applyFont="1" applyBorder="1" applyAlignment="1">
      <alignment horizontal="center" vertical="top" wrapText="1"/>
    </xf>
    <xf numFmtId="165" fontId="5" fillId="0" borderId="3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1" fontId="7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horizontal="center" vertical="top"/>
    </xf>
    <xf numFmtId="164" fontId="7" fillId="0" borderId="0" xfId="0" applyNumberFormat="1" applyFont="1" applyAlignment="1">
      <alignment horizontal="center" vertical="top"/>
    </xf>
    <xf numFmtId="1" fontId="5" fillId="0" borderId="0" xfId="1" applyNumberFormat="1" applyFont="1" applyAlignment="1">
      <alignment vertical="top" wrapText="1"/>
    </xf>
    <xf numFmtId="49" fontId="5" fillId="0" borderId="0" xfId="1" applyNumberFormat="1" applyFont="1" applyAlignment="1">
      <alignment horizontal="center" vertical="top"/>
    </xf>
    <xf numFmtId="164" fontId="5" fillId="0" borderId="0" xfId="1" applyNumberFormat="1" applyFont="1" applyAlignment="1">
      <alignment horizontal="center" vertical="top"/>
    </xf>
    <xf numFmtId="1" fontId="5" fillId="0" borderId="0" xfId="1" applyNumberFormat="1" applyFont="1" applyAlignment="1">
      <alignment horizontal="left" vertical="top" wrapText="1"/>
    </xf>
    <xf numFmtId="164" fontId="5" fillId="0" borderId="0" xfId="2" applyNumberFormat="1" applyFont="1" applyAlignment="1">
      <alignment horizontal="center" vertical="top"/>
    </xf>
    <xf numFmtId="0" fontId="5" fillId="0" borderId="0" xfId="1" applyFont="1" applyAlignment="1">
      <alignment vertical="top" wrapText="1"/>
    </xf>
    <xf numFmtId="49" fontId="5" fillId="0" borderId="0" xfId="4" applyNumberFormat="1" applyFont="1" applyAlignment="1">
      <alignment horizontal="center" vertical="top"/>
    </xf>
    <xf numFmtId="0" fontId="5" fillId="0" borderId="0" xfId="4" applyFont="1" applyAlignment="1">
      <alignment horizontal="center" vertical="top"/>
    </xf>
    <xf numFmtId="1" fontId="5" fillId="0" borderId="0" xfId="5" applyNumberFormat="1" applyFont="1" applyAlignment="1">
      <alignment horizontal="left" vertical="top" wrapText="1"/>
    </xf>
    <xf numFmtId="49" fontId="5" fillId="0" borderId="0" xfId="5" applyNumberFormat="1" applyFont="1" applyAlignment="1">
      <alignment horizontal="center" vertical="top"/>
    </xf>
    <xf numFmtId="0" fontId="5" fillId="0" borderId="0" xfId="2" applyFont="1" applyAlignment="1">
      <alignment horizontal="center" vertical="top"/>
    </xf>
    <xf numFmtId="0" fontId="5" fillId="0" borderId="0" xfId="5" applyFont="1" applyAlignment="1">
      <alignment horizontal="left" vertical="top" wrapText="1"/>
    </xf>
    <xf numFmtId="1" fontId="5" fillId="0" borderId="0" xfId="4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center" vertical="top"/>
    </xf>
    <xf numFmtId="0" fontId="5" fillId="0" borderId="0" xfId="1" applyFont="1" applyAlignment="1">
      <alignment wrapText="1"/>
    </xf>
    <xf numFmtId="164" fontId="7" fillId="0" borderId="0" xfId="1" applyNumberFormat="1" applyFont="1" applyAlignment="1">
      <alignment horizontal="center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1" fontId="5" fillId="0" borderId="0" xfId="1" applyNumberFormat="1" applyFont="1" applyAlignment="1">
      <alignment horizontal="left" wrapText="1"/>
    </xf>
    <xf numFmtId="1" fontId="7" fillId="0" borderId="0" xfId="4" applyNumberFormat="1" applyFont="1" applyAlignment="1">
      <alignment vertical="top" wrapText="1"/>
    </xf>
    <xf numFmtId="49" fontId="7" fillId="0" borderId="0" xfId="4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1" fontId="5" fillId="0" borderId="0" xfId="1" applyNumberFormat="1" applyFont="1" applyAlignment="1">
      <alignment wrapText="1"/>
    </xf>
    <xf numFmtId="1" fontId="5" fillId="0" borderId="0" xfId="4" applyNumberFormat="1" applyFont="1" applyAlignment="1">
      <alignment vertical="top" wrapText="1"/>
    </xf>
    <xf numFmtId="1" fontId="5" fillId="0" borderId="0" xfId="4" applyNumberFormat="1" applyFont="1" applyAlignment="1">
      <alignment wrapText="1"/>
    </xf>
    <xf numFmtId="0" fontId="5" fillId="0" borderId="0" xfId="4" applyFont="1" applyAlignment="1">
      <alignment wrapText="1"/>
    </xf>
    <xf numFmtId="0" fontId="5" fillId="0" borderId="0" xfId="4" applyFont="1" applyAlignment="1">
      <alignment horizontal="left" wrapText="1"/>
    </xf>
    <xf numFmtId="1" fontId="5" fillId="0" borderId="0" xfId="4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7" fillId="0" borderId="0" xfId="4" applyFont="1" applyAlignment="1">
      <alignment horizontal="center" vertical="top"/>
    </xf>
    <xf numFmtId="0" fontId="5" fillId="0" borderId="0" xfId="4" applyFont="1" applyAlignment="1">
      <alignment horizontal="left" vertical="top" wrapText="1"/>
    </xf>
    <xf numFmtId="0" fontId="5" fillId="0" borderId="0" xfId="4" applyFont="1" applyAlignment="1">
      <alignment vertical="top" wrapText="1"/>
    </xf>
    <xf numFmtId="0" fontId="5" fillId="0" borderId="0" xfId="2" applyFont="1" applyAlignment="1">
      <alignment vertical="top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1" fontId="5" fillId="0" borderId="0" xfId="6" applyNumberFormat="1" applyFont="1" applyAlignment="1">
      <alignment horizontal="left" vertical="top" wrapText="1"/>
    </xf>
    <xf numFmtId="0" fontId="5" fillId="0" borderId="0" xfId="6" applyFont="1" applyAlignment="1">
      <alignment horizontal="center" vertical="top"/>
    </xf>
    <xf numFmtId="49" fontId="5" fillId="0" borderId="0" xfId="6" applyNumberFormat="1" applyFont="1" applyAlignment="1">
      <alignment horizontal="center" vertical="top"/>
    </xf>
    <xf numFmtId="164" fontId="6" fillId="0" borderId="0" xfId="0" applyNumberFormat="1" applyFont="1" applyAlignment="1">
      <alignment horizontal="left" vertical="top"/>
    </xf>
    <xf numFmtId="0" fontId="9" fillId="0" borderId="0" xfId="4" applyFont="1" applyAlignment="1">
      <alignment horizontal="center" vertical="top"/>
    </xf>
    <xf numFmtId="164" fontId="5" fillId="0" borderId="0" xfId="4" applyNumberFormat="1" applyFont="1" applyAlignment="1">
      <alignment horizontal="center" vertical="top"/>
    </xf>
    <xf numFmtId="166" fontId="5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horizontal="left" vertical="center" wrapText="1"/>
    </xf>
    <xf numFmtId="49" fontId="5" fillId="0" borderId="0" xfId="1" applyNumberFormat="1" applyFont="1" applyAlignment="1">
      <alignment horizontal="center" vertical="top" wrapText="1"/>
    </xf>
    <xf numFmtId="0" fontId="5" fillId="0" borderId="0" xfId="3" applyFont="1" applyAlignment="1">
      <alignment horizontal="left" vertical="top" wrapText="1"/>
    </xf>
    <xf numFmtId="1" fontId="5" fillId="0" borderId="0" xfId="0" applyNumberFormat="1" applyFont="1" applyAlignment="1">
      <alignment horizontal="left" vertical="top" wrapText="1"/>
    </xf>
    <xf numFmtId="1" fontId="7" fillId="0" borderId="0" xfId="1" applyNumberFormat="1" applyFont="1" applyAlignment="1">
      <alignment horizontal="left" wrapText="1"/>
    </xf>
    <xf numFmtId="49" fontId="7" fillId="0" borderId="0" xfId="0" applyNumberFormat="1" applyFont="1" applyAlignment="1">
      <alignment horizontal="center" vertical="top"/>
    </xf>
    <xf numFmtId="166" fontId="7" fillId="0" borderId="0" xfId="0" applyNumberFormat="1" applyFont="1" applyAlignment="1">
      <alignment horizontal="center" vertical="top"/>
    </xf>
    <xf numFmtId="0" fontId="5" fillId="0" borderId="0" xfId="1" applyFont="1" applyAlignment="1">
      <alignment horizontal="left" wrapText="1"/>
    </xf>
    <xf numFmtId="1" fontId="7" fillId="0" borderId="0" xfId="1" applyNumberFormat="1" applyFont="1" applyAlignment="1">
      <alignment vertical="top" wrapText="1"/>
    </xf>
    <xf numFmtId="0" fontId="10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7" fillId="0" borderId="0" xfId="4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164" fontId="6" fillId="0" borderId="0" xfId="0" applyNumberFormat="1" applyFont="1" applyAlignment="1">
      <alignment horizontal="right" vertical="top"/>
    </xf>
    <xf numFmtId="1" fontId="11" fillId="0" borderId="0" xfId="1" applyNumberFormat="1" applyFont="1" applyAlignment="1">
      <alignment horizontal="left" vertical="top" wrapText="1"/>
    </xf>
    <xf numFmtId="1" fontId="11" fillId="0" borderId="0" xfId="1" applyNumberFormat="1" applyFont="1" applyAlignment="1">
      <alignment vertical="top" wrapText="1"/>
    </xf>
    <xf numFmtId="49" fontId="11" fillId="0" borderId="0" xfId="1" applyNumberFormat="1" applyFont="1" applyAlignment="1">
      <alignment horizontal="center" vertical="top"/>
    </xf>
    <xf numFmtId="0" fontId="11" fillId="0" borderId="0" xfId="1" applyFont="1" applyAlignment="1">
      <alignment vertical="top" wrapText="1"/>
    </xf>
    <xf numFmtId="0" fontId="11" fillId="0" borderId="0" xfId="1" applyFont="1" applyAlignment="1">
      <alignment horizontal="left" vertical="top" wrapText="1"/>
    </xf>
    <xf numFmtId="164" fontId="5" fillId="2" borderId="0" xfId="0" applyNumberFormat="1" applyFont="1" applyFill="1" applyAlignment="1">
      <alignment horizontal="center" vertical="top"/>
    </xf>
    <xf numFmtId="1" fontId="11" fillId="0" borderId="0" xfId="4" applyNumberFormat="1" applyFont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11" fillId="0" borderId="0" xfId="0" applyNumberFormat="1" applyFont="1" applyAlignment="1">
      <alignment horizontal="center" vertical="top" wrapText="1"/>
    </xf>
    <xf numFmtId="1" fontId="11" fillId="0" borderId="0" xfId="1" applyNumberFormat="1" applyFont="1" applyAlignment="1">
      <alignment wrapText="1"/>
    </xf>
    <xf numFmtId="1" fontId="12" fillId="0" borderId="0" xfId="1" applyNumberFormat="1" applyFont="1" applyAlignment="1">
      <alignment horizontal="left" vertical="top" wrapText="1"/>
    </xf>
    <xf numFmtId="0" fontId="11" fillId="2" borderId="0" xfId="1" applyFont="1" applyFill="1" applyAlignment="1">
      <alignment vertical="top" wrapText="1"/>
    </xf>
    <xf numFmtId="1" fontId="11" fillId="0" borderId="0" xfId="4" applyNumberFormat="1" applyFont="1" applyAlignment="1">
      <alignment horizontal="left" vertical="top" wrapText="1"/>
    </xf>
    <xf numFmtId="167" fontId="11" fillId="0" borderId="0" xfId="0" applyNumberFormat="1" applyFont="1" applyAlignment="1">
      <alignment horizontal="left" vertical="center" wrapText="1"/>
    </xf>
    <xf numFmtId="0" fontId="15" fillId="2" borderId="0" xfId="1" applyFont="1" applyFill="1" applyAlignment="1">
      <alignment wrapText="1"/>
    </xf>
    <xf numFmtId="0" fontId="11" fillId="0" borderId="0" xfId="4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" fontId="11" fillId="0" borderId="0" xfId="0" applyNumberFormat="1" applyFont="1" applyAlignment="1">
      <alignment horizontal="left" vertical="top" wrapText="1"/>
    </xf>
    <xf numFmtId="1" fontId="11" fillId="2" borderId="0" xfId="1" applyNumberFormat="1" applyFont="1" applyFill="1" applyAlignment="1">
      <alignment vertical="top" wrapText="1"/>
    </xf>
    <xf numFmtId="49" fontId="11" fillId="0" borderId="0" xfId="0" applyNumberFormat="1" applyFont="1" applyAlignment="1">
      <alignment horizontal="center" vertical="top"/>
    </xf>
    <xf numFmtId="164" fontId="5" fillId="2" borderId="0" xfId="0" applyNumberFormat="1" applyFont="1" applyFill="1" applyAlignment="1">
      <alignment horizontal="left" vertical="top"/>
    </xf>
    <xf numFmtId="0" fontId="7" fillId="2" borderId="0" xfId="1" applyFont="1" applyFill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/>
    </xf>
    <xf numFmtId="164" fontId="12" fillId="0" borderId="0" xfId="0" applyNumberFormat="1" applyFont="1" applyAlignment="1">
      <alignment horizontal="center" vertical="top"/>
    </xf>
    <xf numFmtId="1" fontId="15" fillId="0" borderId="0" xfId="4" applyNumberFormat="1" applyFont="1" applyAlignment="1">
      <alignment horizontal="left" vertical="top" wrapText="1"/>
    </xf>
    <xf numFmtId="49" fontId="15" fillId="0" borderId="0" xfId="1" applyNumberFormat="1" applyFont="1" applyAlignment="1">
      <alignment horizontal="center" vertical="top"/>
    </xf>
    <xf numFmtId="164" fontId="12" fillId="0" borderId="0" xfId="1" applyNumberFormat="1" applyFont="1" applyAlignment="1">
      <alignment horizontal="center" vertical="top"/>
    </xf>
    <xf numFmtId="164" fontId="5" fillId="0" borderId="0" xfId="0" applyNumberFormat="1" applyFont="1" applyAlignment="1">
      <alignment horizontal="right" vertical="top"/>
    </xf>
    <xf numFmtId="1" fontId="5" fillId="0" borderId="0" xfId="1" applyNumberFormat="1" applyFont="1" applyAlignment="1">
      <alignment horizontal="center" vertical="top" wrapText="1"/>
    </xf>
    <xf numFmtId="0" fontId="5" fillId="3" borderId="0" xfId="4" applyFont="1" applyFill="1" applyAlignment="1">
      <alignment horizontal="left" vertical="top" wrapText="1"/>
    </xf>
    <xf numFmtId="164" fontId="5" fillId="0" borderId="0" xfId="0" applyNumberFormat="1" applyFont="1" applyAlignment="1">
      <alignment horizontal="left" vertical="top" wrapText="1"/>
    </xf>
    <xf numFmtId="1" fontId="5" fillId="0" borderId="1" xfId="1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5" fillId="0" borderId="5" xfId="0" applyNumberFormat="1" applyFont="1" applyBorder="1" applyAlignment="1">
      <alignment horizontal="center" vertical="top"/>
    </xf>
    <xf numFmtId="49" fontId="5" fillId="0" borderId="2" xfId="1" applyNumberFormat="1" applyFont="1" applyBorder="1" applyAlignment="1">
      <alignment horizontal="center" vertical="top" wrapText="1"/>
    </xf>
    <xf numFmtId="49" fontId="5" fillId="0" borderId="3" xfId="1" applyNumberFormat="1" applyFont="1" applyBorder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</cellXfs>
  <cellStyles count="7">
    <cellStyle name="Обычный" xfId="0" builtinId="0"/>
    <cellStyle name="Обычный 2" xfId="6" xr:uid="{00000000-0005-0000-0000-000001000000}"/>
    <cellStyle name="Обычный 3" xfId="1" xr:uid="{00000000-0005-0000-0000-000002000000}"/>
    <cellStyle name="Обычный 3 2" xfId="5" xr:uid="{00000000-0005-0000-0000-000003000000}"/>
    <cellStyle name="Обычный 4 2" xfId="2" xr:uid="{00000000-0005-0000-0000-000004000000}"/>
    <cellStyle name="Обычный 5" xfId="4" xr:uid="{00000000-0005-0000-0000-000005000000}"/>
    <cellStyle name="Обычный 6" xfId="3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824"/>
  <sheetViews>
    <sheetView tabSelected="1" zoomScale="77" zoomScaleNormal="77" zoomScaleSheetLayoutView="74" workbookViewId="0">
      <selection activeCell="I3" sqref="I3"/>
    </sheetView>
  </sheetViews>
  <sheetFormatPr defaultRowHeight="15.75" outlineLevelRow="2" x14ac:dyDescent="0.25"/>
  <cols>
    <col min="1" max="1" width="49.42578125" style="2" customWidth="1"/>
    <col min="2" max="2" width="8.7109375" style="3" customWidth="1"/>
    <col min="3" max="3" width="17.42578125" style="3" customWidth="1"/>
    <col min="4" max="4" width="7.140625" style="1" customWidth="1"/>
    <col min="5" max="5" width="14.42578125" style="1" customWidth="1"/>
    <col min="6" max="6" width="13.85546875" style="79" customWidth="1"/>
    <col min="7" max="7" width="15.85546875" style="3" customWidth="1"/>
    <col min="8" max="16384" width="9.140625" style="4"/>
  </cols>
  <sheetData>
    <row r="1" spans="1:7" ht="55.5" customHeight="1" x14ac:dyDescent="0.25">
      <c r="F1" s="104" t="s">
        <v>508</v>
      </c>
      <c r="G1" s="104"/>
    </row>
    <row r="2" spans="1:7" ht="21" customHeight="1" x14ac:dyDescent="0.25">
      <c r="F2" s="94" t="s">
        <v>753</v>
      </c>
    </row>
    <row r="3" spans="1:7" ht="51.75" customHeight="1" x14ac:dyDescent="0.25">
      <c r="F3" s="104" t="s">
        <v>515</v>
      </c>
      <c r="G3" s="104"/>
    </row>
    <row r="4" spans="1:7" ht="13.5" customHeight="1" x14ac:dyDescent="0.25">
      <c r="E4" s="5"/>
      <c r="F4" s="94" t="s">
        <v>514</v>
      </c>
    </row>
    <row r="5" spans="1:7" ht="27" customHeight="1" x14ac:dyDescent="0.25">
      <c r="E5" s="5"/>
      <c r="F5" s="94" t="s">
        <v>750</v>
      </c>
    </row>
    <row r="6" spans="1:7" ht="48.75" customHeight="1" x14ac:dyDescent="0.25">
      <c r="A6" s="111" t="s">
        <v>289</v>
      </c>
      <c r="B6" s="111"/>
      <c r="C6" s="111"/>
      <c r="D6" s="111"/>
      <c r="E6" s="111"/>
      <c r="F6" s="111"/>
      <c r="G6" s="111"/>
    </row>
    <row r="7" spans="1:7" x14ac:dyDescent="0.25">
      <c r="A7" s="6"/>
      <c r="B7" s="7"/>
      <c r="C7" s="7"/>
      <c r="D7" s="7"/>
      <c r="E7" s="7"/>
      <c r="F7" s="95"/>
    </row>
    <row r="8" spans="1:7" x14ac:dyDescent="0.25">
      <c r="A8" s="8"/>
      <c r="B8" s="9"/>
      <c r="C8" s="9"/>
      <c r="G8" s="1" t="s">
        <v>0</v>
      </c>
    </row>
    <row r="9" spans="1:7" ht="16.5" customHeight="1" x14ac:dyDescent="0.25">
      <c r="A9" s="105" t="s">
        <v>1</v>
      </c>
      <c r="B9" s="106" t="s">
        <v>2</v>
      </c>
      <c r="C9" s="109" t="s">
        <v>3</v>
      </c>
      <c r="D9" s="109" t="s">
        <v>4</v>
      </c>
      <c r="E9" s="10" t="s">
        <v>138</v>
      </c>
      <c r="F9" s="107" t="s">
        <v>77</v>
      </c>
      <c r="G9" s="108"/>
    </row>
    <row r="10" spans="1:7" x14ac:dyDescent="0.25">
      <c r="A10" s="105"/>
      <c r="B10" s="106"/>
      <c r="C10" s="110"/>
      <c r="D10" s="110"/>
      <c r="E10" s="11" t="s">
        <v>644</v>
      </c>
      <c r="F10" s="96" t="s">
        <v>86</v>
      </c>
      <c r="G10" s="12" t="s">
        <v>141</v>
      </c>
    </row>
    <row r="11" spans="1:7" x14ac:dyDescent="0.25">
      <c r="A11" s="13" t="s">
        <v>5</v>
      </c>
      <c r="B11" s="14" t="s">
        <v>6</v>
      </c>
      <c r="C11" s="14"/>
      <c r="D11" s="15"/>
      <c r="E11" s="16">
        <f>E12+E16+E29+E47+E52+E58+E68+E62</f>
        <v>1344531.5</v>
      </c>
      <c r="F11" s="16">
        <f t="shared" ref="F11:G11" si="0">F12+F16+F29+F47+F52+F58+F68+F62</f>
        <v>1043621.7000000001</v>
      </c>
      <c r="G11" s="16">
        <f t="shared" si="0"/>
        <v>1017509.3</v>
      </c>
    </row>
    <row r="12" spans="1:7" ht="47.25" outlineLevel="1" x14ac:dyDescent="0.25">
      <c r="A12" s="17" t="s">
        <v>27</v>
      </c>
      <c r="B12" s="18" t="s">
        <v>28</v>
      </c>
      <c r="C12" s="18"/>
      <c r="D12" s="9"/>
      <c r="E12" s="19">
        <f>E13</f>
        <v>4059</v>
      </c>
      <c r="F12" s="19">
        <f t="shared" ref="F12:G14" si="1">F13</f>
        <v>4001.6</v>
      </c>
      <c r="G12" s="19">
        <f t="shared" si="1"/>
        <v>4001.6</v>
      </c>
    </row>
    <row r="13" spans="1:7" outlineLevel="2" x14ac:dyDescent="0.25">
      <c r="A13" s="17" t="s">
        <v>9</v>
      </c>
      <c r="B13" s="18" t="s">
        <v>28</v>
      </c>
      <c r="C13" s="18" t="s">
        <v>10</v>
      </c>
      <c r="D13" s="9"/>
      <c r="E13" s="19">
        <f>E14</f>
        <v>4059</v>
      </c>
      <c r="F13" s="19">
        <f t="shared" si="1"/>
        <v>4001.6</v>
      </c>
      <c r="G13" s="19">
        <f t="shared" si="1"/>
        <v>4001.6</v>
      </c>
    </row>
    <row r="14" spans="1:7" outlineLevel="2" x14ac:dyDescent="0.25">
      <c r="A14" s="17" t="s">
        <v>29</v>
      </c>
      <c r="B14" s="18" t="s">
        <v>28</v>
      </c>
      <c r="C14" s="18" t="s">
        <v>30</v>
      </c>
      <c r="D14" s="9"/>
      <c r="E14" s="19">
        <f>E15</f>
        <v>4059</v>
      </c>
      <c r="F14" s="19">
        <f t="shared" si="1"/>
        <v>4001.6</v>
      </c>
      <c r="G14" s="19">
        <f t="shared" si="1"/>
        <v>4001.6</v>
      </c>
    </row>
    <row r="15" spans="1:7" ht="94.5" outlineLevel="2" x14ac:dyDescent="0.25">
      <c r="A15" s="17" t="s">
        <v>13</v>
      </c>
      <c r="B15" s="18" t="s">
        <v>28</v>
      </c>
      <c r="C15" s="18" t="s">
        <v>30</v>
      </c>
      <c r="D15" s="9">
        <v>100</v>
      </c>
      <c r="E15" s="19">
        <f>3872.4+186.6</f>
        <v>4059</v>
      </c>
      <c r="F15" s="19">
        <v>4001.6</v>
      </c>
      <c r="G15" s="19">
        <v>4001.6</v>
      </c>
    </row>
    <row r="16" spans="1:7" ht="63" outlineLevel="1" x14ac:dyDescent="0.25">
      <c r="A16" s="20" t="s">
        <v>7</v>
      </c>
      <c r="B16" s="18" t="s">
        <v>8</v>
      </c>
      <c r="C16" s="18"/>
      <c r="D16" s="9"/>
      <c r="E16" s="1">
        <f>E17</f>
        <v>51205</v>
      </c>
      <c r="F16" s="1">
        <f>F17</f>
        <v>53167.399999999994</v>
      </c>
      <c r="G16" s="21">
        <f>G17</f>
        <v>53167.399999999994</v>
      </c>
    </row>
    <row r="17" spans="1:7" outlineLevel="2" x14ac:dyDescent="0.25">
      <c r="A17" s="20" t="s">
        <v>9</v>
      </c>
      <c r="B17" s="18" t="s">
        <v>8</v>
      </c>
      <c r="C17" s="18" t="s">
        <v>10</v>
      </c>
      <c r="D17" s="9"/>
      <c r="E17" s="19">
        <f>E18+E20+E22+E24+E27</f>
        <v>51205</v>
      </c>
      <c r="F17" s="19">
        <f>F18+F20+F22+F24+F27</f>
        <v>53167.399999999994</v>
      </c>
      <c r="G17" s="21">
        <f>G18+G20+G22+G24+G27</f>
        <v>53167.399999999994</v>
      </c>
    </row>
    <row r="18" spans="1:7" ht="31.5" outlineLevel="2" x14ac:dyDescent="0.25">
      <c r="A18" s="20" t="s">
        <v>11</v>
      </c>
      <c r="B18" s="18" t="s">
        <v>8</v>
      </c>
      <c r="C18" s="18" t="s">
        <v>12</v>
      </c>
      <c r="D18" s="9"/>
      <c r="E18" s="1">
        <f>E19</f>
        <v>4059.1</v>
      </c>
      <c r="F18" s="1">
        <f>F19</f>
        <v>4001.6</v>
      </c>
      <c r="G18" s="21">
        <f>G19</f>
        <v>4001.6</v>
      </c>
    </row>
    <row r="19" spans="1:7" ht="94.5" outlineLevel="2" x14ac:dyDescent="0.25">
      <c r="A19" s="20" t="s">
        <v>13</v>
      </c>
      <c r="B19" s="18" t="s">
        <v>8</v>
      </c>
      <c r="C19" s="18" t="s">
        <v>12</v>
      </c>
      <c r="D19" s="9">
        <v>100</v>
      </c>
      <c r="E19" s="19">
        <f>3872.4+186.7</f>
        <v>4059.1</v>
      </c>
      <c r="F19" s="19">
        <v>4001.6</v>
      </c>
      <c r="G19" s="21">
        <v>4001.6</v>
      </c>
    </row>
    <row r="20" spans="1:7" ht="31.5" outlineLevel="2" x14ac:dyDescent="0.25">
      <c r="A20" s="20" t="s">
        <v>14</v>
      </c>
      <c r="B20" s="18" t="s">
        <v>8</v>
      </c>
      <c r="C20" s="18" t="s">
        <v>15</v>
      </c>
      <c r="D20" s="9"/>
      <c r="E20" s="1">
        <f>E21</f>
        <v>2635.2000000000003</v>
      </c>
      <c r="F20" s="1">
        <f>F21</f>
        <v>3265.3</v>
      </c>
      <c r="G20" s="21">
        <f>G21</f>
        <v>3265.3</v>
      </c>
    </row>
    <row r="21" spans="1:7" ht="94.5" outlineLevel="2" x14ac:dyDescent="0.25">
      <c r="A21" s="20" t="s">
        <v>13</v>
      </c>
      <c r="B21" s="18" t="s">
        <v>8</v>
      </c>
      <c r="C21" s="18" t="s">
        <v>15</v>
      </c>
      <c r="D21" s="9">
        <v>100</v>
      </c>
      <c r="E21" s="19">
        <f>3159.8-524.6</f>
        <v>2635.2000000000003</v>
      </c>
      <c r="F21" s="19">
        <v>3265.3</v>
      </c>
      <c r="G21" s="21">
        <v>3265.3</v>
      </c>
    </row>
    <row r="22" spans="1:7" ht="31.5" outlineLevel="2" x14ac:dyDescent="0.25">
      <c r="A22" s="20" t="s">
        <v>16</v>
      </c>
      <c r="B22" s="18" t="s">
        <v>8</v>
      </c>
      <c r="C22" s="18" t="s">
        <v>17</v>
      </c>
      <c r="D22" s="9"/>
      <c r="E22" s="1">
        <f>E23</f>
        <v>2863.2999999999997</v>
      </c>
      <c r="F22" s="1">
        <f>F23</f>
        <v>3035.7</v>
      </c>
      <c r="G22" s="21">
        <f>G23</f>
        <v>3035.7</v>
      </c>
    </row>
    <row r="23" spans="1:7" ht="94.5" outlineLevel="2" x14ac:dyDescent="0.25">
      <c r="A23" s="20" t="s">
        <v>13</v>
      </c>
      <c r="B23" s="18" t="s">
        <v>8</v>
      </c>
      <c r="C23" s="18" t="s">
        <v>17</v>
      </c>
      <c r="D23" s="9">
        <v>100</v>
      </c>
      <c r="E23" s="19">
        <f>2937.7-74.4</f>
        <v>2863.2999999999997</v>
      </c>
      <c r="F23" s="19">
        <v>3035.7</v>
      </c>
      <c r="G23" s="21">
        <v>3035.7</v>
      </c>
    </row>
    <row r="24" spans="1:7" ht="31.5" outlineLevel="2" x14ac:dyDescent="0.25">
      <c r="A24" s="8" t="s">
        <v>18</v>
      </c>
      <c r="B24" s="18" t="s">
        <v>8</v>
      </c>
      <c r="C24" s="18" t="s">
        <v>19</v>
      </c>
      <c r="D24" s="9"/>
      <c r="E24" s="1">
        <f>E25+E26</f>
        <v>28959.100000000002</v>
      </c>
      <c r="F24" s="1">
        <f>F25+F26</f>
        <v>28186</v>
      </c>
      <c r="G24" s="21">
        <f>G25+G26</f>
        <v>28186</v>
      </c>
    </row>
    <row r="25" spans="1:7" ht="94.5" outlineLevel="2" x14ac:dyDescent="0.25">
      <c r="A25" s="20" t="s">
        <v>13</v>
      </c>
      <c r="B25" s="18" t="s">
        <v>8</v>
      </c>
      <c r="C25" s="18" t="s">
        <v>19</v>
      </c>
      <c r="D25" s="9">
        <v>100</v>
      </c>
      <c r="E25" s="19">
        <f>25723.4+1238.8+164</f>
        <v>27126.2</v>
      </c>
      <c r="F25" s="19">
        <v>26580.2</v>
      </c>
      <c r="G25" s="21">
        <v>26580.2</v>
      </c>
    </row>
    <row r="26" spans="1:7" ht="31.5" outlineLevel="2" x14ac:dyDescent="0.25">
      <c r="A26" s="20" t="s">
        <v>76</v>
      </c>
      <c r="B26" s="18" t="s">
        <v>8</v>
      </c>
      <c r="C26" s="18" t="s">
        <v>19</v>
      </c>
      <c r="D26" s="9">
        <v>200</v>
      </c>
      <c r="E26" s="1">
        <v>1832.9</v>
      </c>
      <c r="F26" s="1">
        <v>1605.8</v>
      </c>
      <c r="G26" s="21">
        <v>1605.8</v>
      </c>
    </row>
    <row r="27" spans="1:7" ht="31.5" outlineLevel="2" x14ac:dyDescent="0.25">
      <c r="A27" s="20" t="s">
        <v>21</v>
      </c>
      <c r="B27" s="18" t="s">
        <v>8</v>
      </c>
      <c r="C27" s="18" t="s">
        <v>22</v>
      </c>
      <c r="D27" s="9"/>
      <c r="E27" s="19">
        <f>E28</f>
        <v>12688.3</v>
      </c>
      <c r="F27" s="19">
        <f>F28</f>
        <v>14678.8</v>
      </c>
      <c r="G27" s="21">
        <f>G28</f>
        <v>14678.8</v>
      </c>
    </row>
    <row r="28" spans="1:7" ht="94.5" outlineLevel="2" x14ac:dyDescent="0.25">
      <c r="A28" s="20" t="s">
        <v>13</v>
      </c>
      <c r="B28" s="18" t="s">
        <v>8</v>
      </c>
      <c r="C28" s="18" t="s">
        <v>22</v>
      </c>
      <c r="D28" s="9">
        <v>100</v>
      </c>
      <c r="E28" s="1">
        <f>14678.8-1826.5-164</f>
        <v>12688.3</v>
      </c>
      <c r="F28" s="1">
        <v>14678.8</v>
      </c>
      <c r="G28" s="21">
        <v>14678.8</v>
      </c>
    </row>
    <row r="29" spans="1:7" ht="63" outlineLevel="1" x14ac:dyDescent="0.25">
      <c r="A29" s="17" t="s">
        <v>639</v>
      </c>
      <c r="B29" s="18" t="s">
        <v>31</v>
      </c>
      <c r="C29" s="18"/>
      <c r="D29" s="9"/>
      <c r="E29" s="19">
        <f>E30</f>
        <v>445345.5</v>
      </c>
      <c r="F29" s="19">
        <f t="shared" ref="F29:G29" si="2">F30</f>
        <v>430727.2</v>
      </c>
      <c r="G29" s="19">
        <f t="shared" si="2"/>
        <v>394909.4</v>
      </c>
    </row>
    <row r="30" spans="1:7" outlineLevel="2" x14ac:dyDescent="0.25">
      <c r="A30" s="17" t="s">
        <v>9</v>
      </c>
      <c r="B30" s="18" t="s">
        <v>31</v>
      </c>
      <c r="C30" s="18" t="s">
        <v>10</v>
      </c>
      <c r="D30" s="9"/>
      <c r="E30" s="1">
        <f>E31+E36</f>
        <v>445345.5</v>
      </c>
      <c r="F30" s="1">
        <f t="shared" ref="F30:G30" si="3">F31+F36</f>
        <v>430727.2</v>
      </c>
      <c r="G30" s="19">
        <f t="shared" si="3"/>
        <v>394909.4</v>
      </c>
    </row>
    <row r="31" spans="1:7" ht="53.25" customHeight="1" outlineLevel="2" x14ac:dyDescent="0.25">
      <c r="A31" s="22" t="s">
        <v>159</v>
      </c>
      <c r="B31" s="18" t="s">
        <v>31</v>
      </c>
      <c r="C31" s="18" t="s">
        <v>32</v>
      </c>
      <c r="D31" s="9"/>
      <c r="E31" s="19">
        <f>E32+E33+E34+E35</f>
        <v>429186.5</v>
      </c>
      <c r="F31" s="19">
        <f t="shared" ref="F31:G31" si="4">F32+F33+F34+F35</f>
        <v>413209.7</v>
      </c>
      <c r="G31" s="19">
        <f t="shared" si="4"/>
        <v>377467.80000000005</v>
      </c>
    </row>
    <row r="32" spans="1:7" ht="94.5" outlineLevel="2" x14ac:dyDescent="0.25">
      <c r="A32" s="17" t="s">
        <v>13</v>
      </c>
      <c r="B32" s="18" t="s">
        <v>31</v>
      </c>
      <c r="C32" s="18" t="s">
        <v>32</v>
      </c>
      <c r="D32" s="9">
        <v>100</v>
      </c>
      <c r="E32" s="1">
        <f>342930+32926.3+70.6</f>
        <v>375926.89999999997</v>
      </c>
      <c r="F32" s="1">
        <v>354667</v>
      </c>
      <c r="G32" s="19">
        <v>354667.9</v>
      </c>
    </row>
    <row r="33" spans="1:7" ht="31.5" outlineLevel="2" x14ac:dyDescent="0.25">
      <c r="A33" s="17" t="s">
        <v>76</v>
      </c>
      <c r="B33" s="18" t="s">
        <v>31</v>
      </c>
      <c r="C33" s="18" t="s">
        <v>32</v>
      </c>
      <c r="D33" s="9">
        <v>200</v>
      </c>
      <c r="E33" s="19">
        <f>25797.3+1122+22666.9</f>
        <v>49586.2</v>
      </c>
      <c r="F33" s="19">
        <f>19369.3+35500</f>
        <v>54869.3</v>
      </c>
      <c r="G33" s="19">
        <v>19126.5</v>
      </c>
    </row>
    <row r="34" spans="1:7" ht="31.5" outlineLevel="2" x14ac:dyDescent="0.25">
      <c r="A34" s="17" t="s">
        <v>20</v>
      </c>
      <c r="B34" s="18" t="s">
        <v>31</v>
      </c>
      <c r="C34" s="18" t="s">
        <v>32</v>
      </c>
      <c r="D34" s="9">
        <v>300</v>
      </c>
      <c r="E34" s="1">
        <v>1000</v>
      </c>
      <c r="F34" s="1">
        <v>1000</v>
      </c>
      <c r="G34" s="19">
        <v>1000</v>
      </c>
    </row>
    <row r="35" spans="1:7" outlineLevel="2" x14ac:dyDescent="0.25">
      <c r="A35" s="22" t="s">
        <v>33</v>
      </c>
      <c r="B35" s="18" t="s">
        <v>31</v>
      </c>
      <c r="C35" s="18" t="s">
        <v>32</v>
      </c>
      <c r="D35" s="9">
        <v>800</v>
      </c>
      <c r="E35" s="19">
        <v>2673.4</v>
      </c>
      <c r="F35" s="19">
        <v>2673.4</v>
      </c>
      <c r="G35" s="19">
        <v>2673.4</v>
      </c>
    </row>
    <row r="36" spans="1:7" ht="31.5" outlineLevel="2" x14ac:dyDescent="0.25">
      <c r="A36" s="22" t="s">
        <v>34</v>
      </c>
      <c r="B36" s="23" t="s">
        <v>31</v>
      </c>
      <c r="C36" s="23" t="s">
        <v>35</v>
      </c>
      <c r="D36" s="18"/>
      <c r="E36" s="1">
        <f>E37+E39+E41+E44</f>
        <v>16159</v>
      </c>
      <c r="F36" s="1">
        <f t="shared" ref="F36:G36" si="5">F37+F39+F41+F44</f>
        <v>17517.5</v>
      </c>
      <c r="G36" s="19">
        <f t="shared" si="5"/>
        <v>17441.599999999999</v>
      </c>
    </row>
    <row r="37" spans="1:7" ht="94.5" outlineLevel="2" x14ac:dyDescent="0.25">
      <c r="A37" s="17" t="s">
        <v>79</v>
      </c>
      <c r="B37" s="18" t="s">
        <v>31</v>
      </c>
      <c r="C37" s="24" t="s">
        <v>36</v>
      </c>
      <c r="D37" s="9"/>
      <c r="E37" s="19">
        <f>E38</f>
        <v>6869.7</v>
      </c>
      <c r="F37" s="19">
        <f t="shared" ref="F37:G37" si="6">F38</f>
        <v>6869.7</v>
      </c>
      <c r="G37" s="19">
        <f t="shared" si="6"/>
        <v>6869.7</v>
      </c>
    </row>
    <row r="38" spans="1:7" ht="94.5" outlineLevel="2" x14ac:dyDescent="0.25">
      <c r="A38" s="17" t="s">
        <v>13</v>
      </c>
      <c r="B38" s="18" t="s">
        <v>31</v>
      </c>
      <c r="C38" s="24" t="s">
        <v>36</v>
      </c>
      <c r="D38" s="9">
        <v>100</v>
      </c>
      <c r="E38" s="1">
        <v>6869.7</v>
      </c>
      <c r="F38" s="1">
        <v>6869.7</v>
      </c>
      <c r="G38" s="19">
        <v>6869.7</v>
      </c>
    </row>
    <row r="39" spans="1:7" ht="126" outlineLevel="2" x14ac:dyDescent="0.25">
      <c r="A39" s="17" t="s">
        <v>87</v>
      </c>
      <c r="B39" s="18" t="s">
        <v>31</v>
      </c>
      <c r="C39" s="18" t="s">
        <v>37</v>
      </c>
      <c r="D39" s="18"/>
      <c r="E39" s="19">
        <f>E40</f>
        <v>3813.2</v>
      </c>
      <c r="F39" s="19">
        <f t="shared" ref="F39:G39" si="7">F40</f>
        <v>3813.2</v>
      </c>
      <c r="G39" s="19">
        <f t="shared" si="7"/>
        <v>3813.2</v>
      </c>
    </row>
    <row r="40" spans="1:7" ht="94.5" outlineLevel="2" x14ac:dyDescent="0.25">
      <c r="A40" s="17" t="s">
        <v>13</v>
      </c>
      <c r="B40" s="18" t="s">
        <v>31</v>
      </c>
      <c r="C40" s="18" t="s">
        <v>37</v>
      </c>
      <c r="D40" s="18" t="s">
        <v>38</v>
      </c>
      <c r="E40" s="1">
        <f>3799.1+14.1</f>
        <v>3813.2</v>
      </c>
      <c r="F40" s="1">
        <f>3799.1+14.1</f>
        <v>3813.2</v>
      </c>
      <c r="G40" s="19">
        <f>3799.1+14.1</f>
        <v>3813.2</v>
      </c>
    </row>
    <row r="41" spans="1:7" ht="94.5" outlineLevel="2" x14ac:dyDescent="0.25">
      <c r="A41" s="17" t="s">
        <v>82</v>
      </c>
      <c r="B41" s="18" t="s">
        <v>31</v>
      </c>
      <c r="C41" s="18" t="s">
        <v>78</v>
      </c>
      <c r="D41" s="18"/>
      <c r="E41" s="19">
        <f>E42+E43</f>
        <v>0</v>
      </c>
      <c r="F41" s="19">
        <f t="shared" ref="F41:G41" si="8">F42+F43</f>
        <v>1358.5</v>
      </c>
      <c r="G41" s="19">
        <f t="shared" si="8"/>
        <v>1282.5999999999999</v>
      </c>
    </row>
    <row r="42" spans="1:7" ht="94.5" outlineLevel="2" x14ac:dyDescent="0.25">
      <c r="A42" s="17" t="s">
        <v>13</v>
      </c>
      <c r="B42" s="18" t="s">
        <v>31</v>
      </c>
      <c r="C42" s="18" t="s">
        <v>78</v>
      </c>
      <c r="D42" s="18" t="s">
        <v>38</v>
      </c>
      <c r="E42" s="1">
        <v>0</v>
      </c>
      <c r="F42" s="1">
        <v>1282.5999999999999</v>
      </c>
      <c r="G42" s="19">
        <v>1282.5999999999999</v>
      </c>
    </row>
    <row r="43" spans="1:7" ht="31.5" outlineLevel="2" x14ac:dyDescent="0.25">
      <c r="A43" s="17" t="s">
        <v>76</v>
      </c>
      <c r="B43" s="18" t="s">
        <v>31</v>
      </c>
      <c r="C43" s="18" t="s">
        <v>78</v>
      </c>
      <c r="D43" s="18" t="s">
        <v>39</v>
      </c>
      <c r="E43" s="19">
        <v>0</v>
      </c>
      <c r="F43" s="19">
        <v>75.900000000000006</v>
      </c>
      <c r="G43" s="19">
        <f>75.9-75.9</f>
        <v>0</v>
      </c>
    </row>
    <row r="44" spans="1:7" ht="63" outlineLevel="2" x14ac:dyDescent="0.25">
      <c r="A44" s="17" t="s">
        <v>80</v>
      </c>
      <c r="B44" s="18" t="s">
        <v>31</v>
      </c>
      <c r="C44" s="24" t="s">
        <v>40</v>
      </c>
      <c r="D44" s="9"/>
      <c r="E44" s="1">
        <f>E45+E46</f>
        <v>5476.1</v>
      </c>
      <c r="F44" s="1">
        <f t="shared" ref="F44" si="9">F45+F46</f>
        <v>5476.1</v>
      </c>
      <c r="G44" s="19">
        <f>G45+G46</f>
        <v>5476.1</v>
      </c>
    </row>
    <row r="45" spans="1:7" ht="94.5" outlineLevel="2" x14ac:dyDescent="0.25">
      <c r="A45" s="17" t="s">
        <v>13</v>
      </c>
      <c r="B45" s="18" t="s">
        <v>31</v>
      </c>
      <c r="C45" s="24" t="s">
        <v>40</v>
      </c>
      <c r="D45" s="9">
        <v>100</v>
      </c>
      <c r="E45" s="19">
        <f>5192.8+250.5</f>
        <v>5443.3</v>
      </c>
      <c r="F45" s="19">
        <f>5192.8+250.5</f>
        <v>5443.3</v>
      </c>
      <c r="G45" s="19">
        <f>5192.8+250.5</f>
        <v>5443.3</v>
      </c>
    </row>
    <row r="46" spans="1:7" ht="31.5" outlineLevel="2" x14ac:dyDescent="0.25">
      <c r="A46" s="17" t="s">
        <v>76</v>
      </c>
      <c r="B46" s="18" t="s">
        <v>31</v>
      </c>
      <c r="C46" s="24" t="s">
        <v>40</v>
      </c>
      <c r="D46" s="9">
        <v>200</v>
      </c>
      <c r="E46" s="1">
        <f>209-176.2</f>
        <v>32.800000000000011</v>
      </c>
      <c r="F46" s="1">
        <f>209-176.2</f>
        <v>32.800000000000011</v>
      </c>
      <c r="G46" s="19">
        <f>209-176.2</f>
        <v>32.800000000000011</v>
      </c>
    </row>
    <row r="47" spans="1:7" outlineLevel="1" x14ac:dyDescent="0.25">
      <c r="A47" s="25" t="s">
        <v>41</v>
      </c>
      <c r="B47" s="26" t="s">
        <v>42</v>
      </c>
      <c r="C47" s="27"/>
      <c r="D47" s="9"/>
      <c r="E47" s="19">
        <f>E48</f>
        <v>17.7</v>
      </c>
      <c r="F47" s="19">
        <f t="shared" ref="F47:G49" si="10">F48</f>
        <v>372.9</v>
      </c>
      <c r="G47" s="19">
        <f t="shared" si="10"/>
        <v>17.399999999999977</v>
      </c>
    </row>
    <row r="48" spans="1:7" outlineLevel="2" x14ac:dyDescent="0.25">
      <c r="A48" s="17" t="s">
        <v>9</v>
      </c>
      <c r="B48" s="26" t="s">
        <v>42</v>
      </c>
      <c r="C48" s="18" t="s">
        <v>10</v>
      </c>
      <c r="D48" s="9"/>
      <c r="E48" s="1">
        <f>E49</f>
        <v>17.7</v>
      </c>
      <c r="F48" s="1">
        <f t="shared" si="10"/>
        <v>372.9</v>
      </c>
      <c r="G48" s="19">
        <f t="shared" si="10"/>
        <v>17.399999999999977</v>
      </c>
    </row>
    <row r="49" spans="1:7" ht="31.5" outlineLevel="2" x14ac:dyDescent="0.25">
      <c r="A49" s="28" t="s">
        <v>34</v>
      </c>
      <c r="B49" s="26" t="s">
        <v>42</v>
      </c>
      <c r="C49" s="26" t="s">
        <v>35</v>
      </c>
      <c r="D49" s="9"/>
      <c r="E49" s="19">
        <f>E50</f>
        <v>17.7</v>
      </c>
      <c r="F49" s="19">
        <f t="shared" si="10"/>
        <v>372.9</v>
      </c>
      <c r="G49" s="19">
        <f t="shared" si="10"/>
        <v>17.399999999999977</v>
      </c>
    </row>
    <row r="50" spans="1:7" ht="63" outlineLevel="2" x14ac:dyDescent="0.25">
      <c r="A50" s="22" t="s">
        <v>81</v>
      </c>
      <c r="B50" s="26" t="s">
        <v>42</v>
      </c>
      <c r="C50" s="27" t="s">
        <v>43</v>
      </c>
      <c r="D50" s="9"/>
      <c r="E50" s="1">
        <f>E51</f>
        <v>17.7</v>
      </c>
      <c r="F50" s="1">
        <f>F51</f>
        <v>372.9</v>
      </c>
      <c r="G50" s="19">
        <f>G51</f>
        <v>17.399999999999977</v>
      </c>
    </row>
    <row r="51" spans="1:7" ht="39" customHeight="1" outlineLevel="2" x14ac:dyDescent="0.25">
      <c r="A51" s="22" t="s">
        <v>44</v>
      </c>
      <c r="B51" s="26" t="s">
        <v>42</v>
      </c>
      <c r="C51" s="27" t="s">
        <v>43</v>
      </c>
      <c r="D51" s="9">
        <v>600</v>
      </c>
      <c r="E51" s="19">
        <f>30.2-12.5</f>
        <v>17.7</v>
      </c>
      <c r="F51" s="19">
        <f>610-237.1</f>
        <v>372.9</v>
      </c>
      <c r="G51" s="19">
        <f>610-592.6</f>
        <v>17.399999999999977</v>
      </c>
    </row>
    <row r="52" spans="1:7" ht="47.25" outlineLevel="1" x14ac:dyDescent="0.25">
      <c r="A52" s="20" t="s">
        <v>61</v>
      </c>
      <c r="B52" s="18" t="s">
        <v>62</v>
      </c>
      <c r="C52" s="18"/>
      <c r="D52" s="9"/>
      <c r="E52" s="1">
        <f t="shared" ref="E52:G53" si="11">E53</f>
        <v>98981.3</v>
      </c>
      <c r="F52" s="1">
        <f t="shared" si="11"/>
        <v>94834</v>
      </c>
      <c r="G52" s="19">
        <f t="shared" si="11"/>
        <v>95202.3</v>
      </c>
    </row>
    <row r="53" spans="1:7" outlineLevel="2" x14ac:dyDescent="0.25">
      <c r="A53" s="20" t="s">
        <v>9</v>
      </c>
      <c r="B53" s="18" t="s">
        <v>62</v>
      </c>
      <c r="C53" s="18" t="s">
        <v>10</v>
      </c>
      <c r="D53" s="9"/>
      <c r="E53" s="19">
        <f t="shared" si="11"/>
        <v>98981.3</v>
      </c>
      <c r="F53" s="19">
        <f t="shared" si="11"/>
        <v>94834</v>
      </c>
      <c r="G53" s="19">
        <f t="shared" si="11"/>
        <v>95202.3</v>
      </c>
    </row>
    <row r="54" spans="1:7" ht="47.25" outlineLevel="2" x14ac:dyDescent="0.25">
      <c r="A54" s="22" t="s">
        <v>159</v>
      </c>
      <c r="B54" s="18" t="s">
        <v>62</v>
      </c>
      <c r="C54" s="18" t="s">
        <v>32</v>
      </c>
      <c r="D54" s="9"/>
      <c r="E54" s="1">
        <f>E55+E56+E57</f>
        <v>98981.3</v>
      </c>
      <c r="F54" s="1">
        <f>F55+F56+F57</f>
        <v>94834</v>
      </c>
      <c r="G54" s="19">
        <f>G55+G56+G57</f>
        <v>95202.3</v>
      </c>
    </row>
    <row r="55" spans="1:7" ht="94.5" outlineLevel="2" x14ac:dyDescent="0.25">
      <c r="A55" s="20" t="s">
        <v>13</v>
      </c>
      <c r="B55" s="18" t="s">
        <v>62</v>
      </c>
      <c r="C55" s="18" t="s">
        <v>32</v>
      </c>
      <c r="D55" s="9">
        <v>100</v>
      </c>
      <c r="E55" s="19">
        <f>57187.8+28914+5781.7+1375.3+21.7</f>
        <v>93280.5</v>
      </c>
      <c r="F55" s="19">
        <f>59096.4+29865.9</f>
        <v>88962.3</v>
      </c>
      <c r="G55" s="19">
        <f>59096.4+29865.9</f>
        <v>88962.3</v>
      </c>
    </row>
    <row r="56" spans="1:7" ht="31.5" outlineLevel="2" x14ac:dyDescent="0.25">
      <c r="A56" s="20" t="s">
        <v>76</v>
      </c>
      <c r="B56" s="18" t="s">
        <v>62</v>
      </c>
      <c r="C56" s="18" t="s">
        <v>32</v>
      </c>
      <c r="D56" s="9">
        <v>200</v>
      </c>
      <c r="E56" s="1">
        <f>3615.8+2.4+2000+0.1-21.7</f>
        <v>5596.6000000000013</v>
      </c>
      <c r="F56" s="1">
        <f>3767.5+2000</f>
        <v>5767.5</v>
      </c>
      <c r="G56" s="19">
        <f>4135.8+2000</f>
        <v>6135.8</v>
      </c>
    </row>
    <row r="57" spans="1:7" outlineLevel="2" x14ac:dyDescent="0.25">
      <c r="A57" s="8" t="s">
        <v>33</v>
      </c>
      <c r="B57" s="18" t="s">
        <v>62</v>
      </c>
      <c r="C57" s="18" t="s">
        <v>32</v>
      </c>
      <c r="D57" s="9">
        <v>800</v>
      </c>
      <c r="E57" s="19">
        <f>50.2+54</f>
        <v>104.2</v>
      </c>
      <c r="F57" s="19">
        <f t="shared" ref="F57:G57" si="12">50.2+54</f>
        <v>104.2</v>
      </c>
      <c r="G57" s="19">
        <f t="shared" si="12"/>
        <v>104.2</v>
      </c>
    </row>
    <row r="58" spans="1:7" outlineLevel="1" x14ac:dyDescent="0.25">
      <c r="A58" s="20" t="s">
        <v>63</v>
      </c>
      <c r="B58" s="18" t="s">
        <v>64</v>
      </c>
      <c r="C58" s="18"/>
      <c r="D58" s="9"/>
      <c r="E58" s="1">
        <f>E59</f>
        <v>226062.3</v>
      </c>
      <c r="F58" s="1">
        <f t="shared" ref="F58:G60" si="13">F59</f>
        <v>82102.2</v>
      </c>
      <c r="G58" s="19">
        <f t="shared" si="13"/>
        <v>82102.2</v>
      </c>
    </row>
    <row r="59" spans="1:7" outlineLevel="2" x14ac:dyDescent="0.25">
      <c r="A59" s="20" t="s">
        <v>9</v>
      </c>
      <c r="B59" s="18" t="s">
        <v>64</v>
      </c>
      <c r="C59" s="18" t="s">
        <v>10</v>
      </c>
      <c r="D59" s="9"/>
      <c r="E59" s="19">
        <f>E60</f>
        <v>226062.3</v>
      </c>
      <c r="F59" s="19">
        <f t="shared" si="13"/>
        <v>82102.2</v>
      </c>
      <c r="G59" s="19">
        <f t="shared" si="13"/>
        <v>82102.2</v>
      </c>
    </row>
    <row r="60" spans="1:7" ht="31.5" outlineLevel="2" x14ac:dyDescent="0.25">
      <c r="A60" s="20" t="s">
        <v>65</v>
      </c>
      <c r="B60" s="18" t="s">
        <v>64</v>
      </c>
      <c r="C60" s="18" t="s">
        <v>66</v>
      </c>
      <c r="D60" s="9"/>
      <c r="E60" s="1">
        <f>E61</f>
        <v>226062.3</v>
      </c>
      <c r="F60" s="1">
        <f t="shared" si="13"/>
        <v>82102.2</v>
      </c>
      <c r="G60" s="19">
        <f t="shared" si="13"/>
        <v>82102.2</v>
      </c>
    </row>
    <row r="61" spans="1:7" outlineLevel="2" x14ac:dyDescent="0.25">
      <c r="A61" s="8" t="s">
        <v>33</v>
      </c>
      <c r="B61" s="18" t="s">
        <v>64</v>
      </c>
      <c r="C61" s="18" t="s">
        <v>66</v>
      </c>
      <c r="D61" s="9">
        <v>800</v>
      </c>
      <c r="E61" s="19">
        <f>125000-1421.6-350-7325.6-62561.8-1114+63941.6+40840.1-653.4-653.9-607.6-1141.3-13975-4658.9-1622-881.7-11050.9-11464.5-7687.8+123450.6</f>
        <v>226062.3</v>
      </c>
      <c r="F61" s="19">
        <v>82102.2</v>
      </c>
      <c r="G61" s="19">
        <v>82102.2</v>
      </c>
    </row>
    <row r="62" spans="1:7" ht="31.5" outlineLevel="1" x14ac:dyDescent="0.25">
      <c r="A62" s="20" t="s">
        <v>523</v>
      </c>
      <c r="B62" s="18" t="s">
        <v>525</v>
      </c>
      <c r="C62" s="18"/>
      <c r="D62" s="18"/>
      <c r="E62" s="1">
        <f>E63</f>
        <v>665</v>
      </c>
      <c r="F62" s="1">
        <f t="shared" ref="F62:G66" si="14">F63</f>
        <v>0</v>
      </c>
      <c r="G62" s="19">
        <f t="shared" si="14"/>
        <v>0</v>
      </c>
    </row>
    <row r="63" spans="1:7" ht="47.25" outlineLevel="2" x14ac:dyDescent="0.25">
      <c r="A63" s="20" t="s">
        <v>371</v>
      </c>
      <c r="B63" s="18" t="s">
        <v>525</v>
      </c>
      <c r="C63" s="18" t="s">
        <v>372</v>
      </c>
      <c r="D63" s="18"/>
      <c r="E63" s="19">
        <f>E64</f>
        <v>665</v>
      </c>
      <c r="F63" s="19">
        <f t="shared" si="14"/>
        <v>0</v>
      </c>
      <c r="G63" s="19">
        <f t="shared" si="14"/>
        <v>0</v>
      </c>
    </row>
    <row r="64" spans="1:7" outlineLevel="2" x14ac:dyDescent="0.25">
      <c r="A64" s="20" t="s">
        <v>144</v>
      </c>
      <c r="B64" s="18" t="s">
        <v>525</v>
      </c>
      <c r="C64" s="18" t="s">
        <v>408</v>
      </c>
      <c r="D64" s="18"/>
      <c r="E64" s="1">
        <f t="shared" ref="E64:E66" si="15">E65</f>
        <v>665</v>
      </c>
      <c r="F64" s="1">
        <f t="shared" si="14"/>
        <v>0</v>
      </c>
      <c r="G64" s="19">
        <f t="shared" si="14"/>
        <v>0</v>
      </c>
    </row>
    <row r="65" spans="1:7" ht="47.25" outlineLevel="2" x14ac:dyDescent="0.25">
      <c r="A65" s="20" t="s">
        <v>409</v>
      </c>
      <c r="B65" s="18" t="s">
        <v>525</v>
      </c>
      <c r="C65" s="18" t="s">
        <v>410</v>
      </c>
      <c r="D65" s="18"/>
      <c r="E65" s="19">
        <f t="shared" si="15"/>
        <v>665</v>
      </c>
      <c r="F65" s="19">
        <f t="shared" si="14"/>
        <v>0</v>
      </c>
      <c r="G65" s="19">
        <f t="shared" si="14"/>
        <v>0</v>
      </c>
    </row>
    <row r="66" spans="1:7" outlineLevel="2" x14ac:dyDescent="0.25">
      <c r="A66" s="20" t="s">
        <v>524</v>
      </c>
      <c r="B66" s="18" t="s">
        <v>525</v>
      </c>
      <c r="C66" s="18" t="s">
        <v>526</v>
      </c>
      <c r="D66" s="18"/>
      <c r="E66" s="1">
        <f t="shared" si="15"/>
        <v>665</v>
      </c>
      <c r="F66" s="1">
        <f t="shared" si="14"/>
        <v>0</v>
      </c>
      <c r="G66" s="19">
        <f t="shared" si="14"/>
        <v>0</v>
      </c>
    </row>
    <row r="67" spans="1:7" ht="31.5" outlineLevel="2" x14ac:dyDescent="0.25">
      <c r="A67" s="20" t="s">
        <v>76</v>
      </c>
      <c r="B67" s="18" t="s">
        <v>525</v>
      </c>
      <c r="C67" s="18" t="s">
        <v>526</v>
      </c>
      <c r="D67" s="18" t="s">
        <v>39</v>
      </c>
      <c r="E67" s="19">
        <v>665</v>
      </c>
      <c r="F67" s="19"/>
      <c r="G67" s="19"/>
    </row>
    <row r="68" spans="1:7" outlineLevel="1" x14ac:dyDescent="0.25">
      <c r="A68" s="20" t="s">
        <v>23</v>
      </c>
      <c r="B68" s="18" t="s">
        <v>24</v>
      </c>
      <c r="C68" s="18"/>
      <c r="D68" s="9"/>
      <c r="E68" s="1">
        <f>E69+E104+E115</f>
        <v>518195.70000000007</v>
      </c>
      <c r="F68" s="1">
        <f>F69+F104+F115</f>
        <v>378416.4</v>
      </c>
      <c r="G68" s="1">
        <f>G69+G104+G115</f>
        <v>388109</v>
      </c>
    </row>
    <row r="69" spans="1:7" outlineLevel="2" x14ac:dyDescent="0.25">
      <c r="A69" s="20" t="s">
        <v>9</v>
      </c>
      <c r="B69" s="18" t="s">
        <v>24</v>
      </c>
      <c r="C69" s="18" t="s">
        <v>10</v>
      </c>
      <c r="D69" s="9"/>
      <c r="E69" s="19">
        <f>E70+E72+E77+E79+E86+E88+E82+E84+E100+E90+E92+E94+E96+E98+E102</f>
        <v>415197.40000000008</v>
      </c>
      <c r="F69" s="19">
        <f t="shared" ref="F69:G69" si="16">F70+F72+F77+F79+F86+F88+F82+F84+F100+F90+F92+F94+F96+F98+F102</f>
        <v>278848.80000000005</v>
      </c>
      <c r="G69" s="1">
        <f t="shared" si="16"/>
        <v>287032.2</v>
      </c>
    </row>
    <row r="70" spans="1:7" ht="31.5" outlineLevel="2" x14ac:dyDescent="0.25">
      <c r="A70" s="17" t="s">
        <v>84</v>
      </c>
      <c r="B70" s="18" t="s">
        <v>24</v>
      </c>
      <c r="C70" s="18" t="s">
        <v>85</v>
      </c>
      <c r="D70" s="9"/>
      <c r="E70" s="1">
        <f>E71</f>
        <v>10</v>
      </c>
      <c r="F70" s="1">
        <f t="shared" ref="F70:G70" si="17">F71</f>
        <v>10</v>
      </c>
      <c r="G70" s="19">
        <f t="shared" si="17"/>
        <v>10</v>
      </c>
    </row>
    <row r="71" spans="1:7" ht="22.5" customHeight="1" outlineLevel="2" x14ac:dyDescent="0.25">
      <c r="A71" s="17" t="s">
        <v>20</v>
      </c>
      <c r="B71" s="18" t="s">
        <v>24</v>
      </c>
      <c r="C71" s="18" t="s">
        <v>85</v>
      </c>
      <c r="D71" s="9">
        <v>300</v>
      </c>
      <c r="E71" s="19">
        <v>10</v>
      </c>
      <c r="F71" s="19">
        <v>10</v>
      </c>
      <c r="G71" s="19">
        <v>10</v>
      </c>
    </row>
    <row r="72" spans="1:7" ht="35.25" customHeight="1" outlineLevel="2" x14ac:dyDescent="0.25">
      <c r="A72" s="22" t="s">
        <v>151</v>
      </c>
      <c r="B72" s="18" t="s">
        <v>24</v>
      </c>
      <c r="C72" s="18" t="s">
        <v>45</v>
      </c>
      <c r="D72" s="9"/>
      <c r="E72" s="1">
        <f>SUM(E73:E76)</f>
        <v>275641.7</v>
      </c>
      <c r="F72" s="1">
        <f t="shared" ref="F72:G72" si="18">SUM(F73:F76)</f>
        <v>230146.9</v>
      </c>
      <c r="G72" s="19">
        <f t="shared" si="18"/>
        <v>238330.3</v>
      </c>
    </row>
    <row r="73" spans="1:7" ht="94.5" outlineLevel="2" x14ac:dyDescent="0.25">
      <c r="A73" s="17" t="s">
        <v>13</v>
      </c>
      <c r="B73" s="18" t="s">
        <v>24</v>
      </c>
      <c r="C73" s="18" t="s">
        <v>45</v>
      </c>
      <c r="D73" s="9">
        <v>100</v>
      </c>
      <c r="E73" s="19">
        <f>171071.1+4515.4</f>
        <v>175586.5</v>
      </c>
      <c r="F73" s="19">
        <v>177913.9</v>
      </c>
      <c r="G73" s="19">
        <v>185030.5</v>
      </c>
    </row>
    <row r="74" spans="1:7" ht="31.5" outlineLevel="2" x14ac:dyDescent="0.25">
      <c r="A74" s="17" t="s">
        <v>76</v>
      </c>
      <c r="B74" s="18" t="s">
        <v>24</v>
      </c>
      <c r="C74" s="18" t="s">
        <v>45</v>
      </c>
      <c r="D74" s="9">
        <v>200</v>
      </c>
      <c r="E74" s="1">
        <f>49178-10+193.7+226.3+1127+46513.3</f>
        <v>97228.3</v>
      </c>
      <c r="F74" s="1">
        <v>49416.1</v>
      </c>
      <c r="G74" s="19">
        <v>50482.9</v>
      </c>
    </row>
    <row r="75" spans="1:7" ht="31.5" outlineLevel="2" x14ac:dyDescent="0.25">
      <c r="A75" s="17" t="s">
        <v>20</v>
      </c>
      <c r="B75" s="18" t="s">
        <v>24</v>
      </c>
      <c r="C75" s="18" t="s">
        <v>45</v>
      </c>
      <c r="D75" s="18" t="s">
        <v>561</v>
      </c>
      <c r="E75" s="19">
        <v>10</v>
      </c>
      <c r="F75" s="19">
        <v>0</v>
      </c>
      <c r="G75" s="19">
        <v>0</v>
      </c>
    </row>
    <row r="76" spans="1:7" outlineLevel="2" x14ac:dyDescent="0.25">
      <c r="A76" s="22" t="s">
        <v>33</v>
      </c>
      <c r="B76" s="18" t="s">
        <v>24</v>
      </c>
      <c r="C76" s="18" t="s">
        <v>45</v>
      </c>
      <c r="D76" s="9">
        <v>800</v>
      </c>
      <c r="E76" s="1">
        <v>2816.9</v>
      </c>
      <c r="F76" s="1">
        <v>2816.9</v>
      </c>
      <c r="G76" s="19">
        <v>2816.9</v>
      </c>
    </row>
    <row r="77" spans="1:7" ht="94.5" outlineLevel="2" x14ac:dyDescent="0.25">
      <c r="A77" s="8" t="s">
        <v>142</v>
      </c>
      <c r="B77" s="18" t="s">
        <v>24</v>
      </c>
      <c r="C77" s="18" t="s">
        <v>143</v>
      </c>
      <c r="D77" s="9"/>
      <c r="E77" s="19">
        <f>E78</f>
        <v>25268.600000000006</v>
      </c>
      <c r="F77" s="19">
        <f t="shared" ref="F77:G77" si="19">F78</f>
        <v>30000</v>
      </c>
      <c r="G77" s="19">
        <f t="shared" si="19"/>
        <v>30000</v>
      </c>
    </row>
    <row r="78" spans="1:7" outlineLevel="2" x14ac:dyDescent="0.25">
      <c r="A78" s="8" t="s">
        <v>33</v>
      </c>
      <c r="B78" s="18" t="s">
        <v>24</v>
      </c>
      <c r="C78" s="18" t="s">
        <v>143</v>
      </c>
      <c r="D78" s="9">
        <v>800</v>
      </c>
      <c r="E78" s="1">
        <f>60000-1135-3060.9-6766-464.2-17.7-3997.4-374.8-99.3-55.2-510.6-1327.6-300-9297.6-4.5-485.8-425.8-5927-482</f>
        <v>25268.600000000006</v>
      </c>
      <c r="F78" s="1">
        <v>30000</v>
      </c>
      <c r="G78" s="19">
        <v>30000</v>
      </c>
    </row>
    <row r="79" spans="1:7" ht="63" outlineLevel="2" x14ac:dyDescent="0.25">
      <c r="A79" s="17" t="s">
        <v>46</v>
      </c>
      <c r="B79" s="18" t="s">
        <v>24</v>
      </c>
      <c r="C79" s="18" t="s">
        <v>47</v>
      </c>
      <c r="D79" s="9"/>
      <c r="E79" s="19">
        <f>E81+E80</f>
        <v>84023.4</v>
      </c>
      <c r="F79" s="19">
        <f>F81</f>
        <v>13236.1</v>
      </c>
      <c r="G79" s="19">
        <f>G81</f>
        <v>13236.1</v>
      </c>
    </row>
    <row r="80" spans="1:7" ht="47.25" outlineLevel="2" x14ac:dyDescent="0.25">
      <c r="A80" s="74" t="s">
        <v>94</v>
      </c>
      <c r="B80" s="76" t="s">
        <v>24</v>
      </c>
      <c r="C80" s="76" t="s">
        <v>47</v>
      </c>
      <c r="D80" s="76" t="s">
        <v>95</v>
      </c>
      <c r="E80" s="1">
        <v>64391.4</v>
      </c>
      <c r="F80" s="1">
        <v>0</v>
      </c>
      <c r="G80" s="19">
        <v>0</v>
      </c>
    </row>
    <row r="81" spans="1:7" outlineLevel="2" x14ac:dyDescent="0.25">
      <c r="A81" s="22" t="s">
        <v>33</v>
      </c>
      <c r="B81" s="18" t="s">
        <v>24</v>
      </c>
      <c r="C81" s="18" t="s">
        <v>47</v>
      </c>
      <c r="D81" s="9">
        <v>800</v>
      </c>
      <c r="E81" s="19">
        <f>13025.6+210.5-2545+10049.6-1200+30.3+61</f>
        <v>19632</v>
      </c>
      <c r="F81" s="19">
        <f t="shared" ref="F81:G81" si="20">13025.6+210.5</f>
        <v>13236.1</v>
      </c>
      <c r="G81" s="19">
        <f t="shared" si="20"/>
        <v>13236.1</v>
      </c>
    </row>
    <row r="82" spans="1:7" outlineLevel="2" x14ac:dyDescent="0.25">
      <c r="A82" s="20" t="s">
        <v>571</v>
      </c>
      <c r="B82" s="18" t="s">
        <v>24</v>
      </c>
      <c r="C82" s="18" t="s">
        <v>573</v>
      </c>
      <c r="D82" s="18"/>
      <c r="E82" s="1">
        <f>E83</f>
        <v>115</v>
      </c>
      <c r="F82" s="1">
        <f t="shared" ref="F82:G82" si="21">F83</f>
        <v>0</v>
      </c>
      <c r="G82" s="19">
        <f t="shared" si="21"/>
        <v>0</v>
      </c>
    </row>
    <row r="83" spans="1:7" outlineLevel="2" x14ac:dyDescent="0.25">
      <c r="A83" s="20" t="s">
        <v>33</v>
      </c>
      <c r="B83" s="18" t="s">
        <v>24</v>
      </c>
      <c r="C83" s="18" t="s">
        <v>573</v>
      </c>
      <c r="D83" s="18">
        <v>800</v>
      </c>
      <c r="E83" s="19">
        <v>115</v>
      </c>
      <c r="F83" s="19">
        <v>0</v>
      </c>
      <c r="G83" s="19">
        <v>0</v>
      </c>
    </row>
    <row r="84" spans="1:7" outlineLevel="2" x14ac:dyDescent="0.25">
      <c r="A84" s="20" t="s">
        <v>572</v>
      </c>
      <c r="B84" s="18" t="s">
        <v>24</v>
      </c>
      <c r="C84" s="18" t="s">
        <v>574</v>
      </c>
      <c r="D84" s="18"/>
      <c r="E84" s="1">
        <f>E85</f>
        <v>3630</v>
      </c>
      <c r="F84" s="1">
        <f t="shared" ref="F84:G84" si="22">F85</f>
        <v>0</v>
      </c>
      <c r="G84" s="19">
        <f t="shared" si="22"/>
        <v>0</v>
      </c>
    </row>
    <row r="85" spans="1:7" outlineLevel="2" x14ac:dyDescent="0.25">
      <c r="A85" s="20" t="s">
        <v>33</v>
      </c>
      <c r="B85" s="18" t="s">
        <v>24</v>
      </c>
      <c r="C85" s="18" t="s">
        <v>574</v>
      </c>
      <c r="D85" s="18">
        <v>800</v>
      </c>
      <c r="E85" s="19">
        <f>2430+1200</f>
        <v>3630</v>
      </c>
      <c r="F85" s="19">
        <v>0</v>
      </c>
      <c r="G85" s="19">
        <v>0</v>
      </c>
    </row>
    <row r="86" spans="1:7" ht="47.25" outlineLevel="2" x14ac:dyDescent="0.25">
      <c r="A86" s="8" t="s">
        <v>491</v>
      </c>
      <c r="B86" s="18" t="s">
        <v>24</v>
      </c>
      <c r="C86" s="18" t="s">
        <v>131</v>
      </c>
      <c r="D86" s="9"/>
      <c r="E86" s="1">
        <f>E87</f>
        <v>287.39999999999998</v>
      </c>
      <c r="F86" s="1">
        <f>F87</f>
        <v>287.39999999999998</v>
      </c>
      <c r="G86" s="21">
        <f>G87</f>
        <v>287.39999999999998</v>
      </c>
    </row>
    <row r="87" spans="1:7" ht="31.5" outlineLevel="2" x14ac:dyDescent="0.25">
      <c r="A87" s="20" t="s">
        <v>20</v>
      </c>
      <c r="B87" s="18" t="s">
        <v>24</v>
      </c>
      <c r="C87" s="18" t="s">
        <v>131</v>
      </c>
      <c r="D87" s="9">
        <v>300</v>
      </c>
      <c r="E87" s="19">
        <v>287.39999999999998</v>
      </c>
      <c r="F87" s="19">
        <v>287.39999999999998</v>
      </c>
      <c r="G87" s="21">
        <v>287.39999999999998</v>
      </c>
    </row>
    <row r="88" spans="1:7" ht="47.25" outlineLevel="2" x14ac:dyDescent="0.25">
      <c r="A88" s="20" t="s">
        <v>25</v>
      </c>
      <c r="B88" s="18" t="s">
        <v>24</v>
      </c>
      <c r="C88" s="18" t="s">
        <v>26</v>
      </c>
      <c r="D88" s="9"/>
      <c r="E88" s="1">
        <f>E89</f>
        <v>1603.7</v>
      </c>
      <c r="F88" s="1">
        <f>F89</f>
        <v>1091.9000000000001</v>
      </c>
      <c r="G88" s="21">
        <f>G89</f>
        <v>1091.9000000000001</v>
      </c>
    </row>
    <row r="89" spans="1:7" ht="31.5" outlineLevel="2" x14ac:dyDescent="0.25">
      <c r="A89" s="20" t="s">
        <v>20</v>
      </c>
      <c r="B89" s="18" t="s">
        <v>24</v>
      </c>
      <c r="C89" s="18" t="s">
        <v>26</v>
      </c>
      <c r="D89" s="9">
        <v>300</v>
      </c>
      <c r="E89" s="19">
        <f>402.3+689.6+511.8</f>
        <v>1603.7</v>
      </c>
      <c r="F89" s="19">
        <f t="shared" ref="F89:G89" si="23">402.3+689.6</f>
        <v>1091.9000000000001</v>
      </c>
      <c r="G89" s="1">
        <f t="shared" si="23"/>
        <v>1091.9000000000001</v>
      </c>
    </row>
    <row r="90" spans="1:7" outlineLevel="2" x14ac:dyDescent="0.25">
      <c r="A90" s="75" t="s">
        <v>647</v>
      </c>
      <c r="B90" s="76" t="s">
        <v>24</v>
      </c>
      <c r="C90" s="76" t="s">
        <v>132</v>
      </c>
      <c r="D90" s="76"/>
      <c r="E90" s="1">
        <f>+E91</f>
        <v>513.29999999999995</v>
      </c>
      <c r="F90" s="1">
        <f t="shared" ref="F90:G90" si="24">+F91</f>
        <v>513.29999999999995</v>
      </c>
      <c r="G90" s="1">
        <f t="shared" si="24"/>
        <v>513.29999999999995</v>
      </c>
    </row>
    <row r="91" spans="1:7" ht="47.25" outlineLevel="2" x14ac:dyDescent="0.25">
      <c r="A91" s="77" t="s">
        <v>94</v>
      </c>
      <c r="B91" s="76" t="s">
        <v>24</v>
      </c>
      <c r="C91" s="76" t="s">
        <v>132</v>
      </c>
      <c r="D91" s="76" t="s">
        <v>95</v>
      </c>
      <c r="E91" s="19">
        <f>513.3</f>
        <v>513.29999999999995</v>
      </c>
      <c r="F91" s="19">
        <v>513.29999999999995</v>
      </c>
      <c r="G91" s="1">
        <v>513.29999999999995</v>
      </c>
    </row>
    <row r="92" spans="1:7" ht="31.5" outlineLevel="2" x14ac:dyDescent="0.25">
      <c r="A92" s="75" t="s">
        <v>133</v>
      </c>
      <c r="B92" s="76" t="s">
        <v>24</v>
      </c>
      <c r="C92" s="76" t="s">
        <v>134</v>
      </c>
      <c r="D92" s="76"/>
      <c r="E92" s="1">
        <f>+E93</f>
        <v>2913.2</v>
      </c>
      <c r="F92" s="1">
        <f>+F93</f>
        <v>2913.2</v>
      </c>
      <c r="G92" s="1">
        <f>+G93</f>
        <v>2913.2</v>
      </c>
    </row>
    <row r="93" spans="1:7" ht="47.25" outlineLevel="2" x14ac:dyDescent="0.25">
      <c r="A93" s="77" t="s">
        <v>94</v>
      </c>
      <c r="B93" s="76" t="s">
        <v>24</v>
      </c>
      <c r="C93" s="76" t="s">
        <v>134</v>
      </c>
      <c r="D93" s="76" t="s">
        <v>95</v>
      </c>
      <c r="E93" s="19">
        <v>2913.2</v>
      </c>
      <c r="F93" s="19">
        <v>2913.2</v>
      </c>
      <c r="G93" s="1">
        <v>2913.2</v>
      </c>
    </row>
    <row r="94" spans="1:7" ht="31.5" outlineLevel="2" x14ac:dyDescent="0.25">
      <c r="A94" s="75" t="s">
        <v>139</v>
      </c>
      <c r="B94" s="76" t="s">
        <v>24</v>
      </c>
      <c r="C94" s="76" t="s">
        <v>140</v>
      </c>
      <c r="D94" s="76"/>
      <c r="E94" s="1">
        <f>+E95</f>
        <v>650</v>
      </c>
      <c r="F94" s="1">
        <f t="shared" ref="F94:G94" si="25">+F95</f>
        <v>650</v>
      </c>
      <c r="G94" s="1">
        <f t="shared" si="25"/>
        <v>650</v>
      </c>
    </row>
    <row r="95" spans="1:7" ht="31.5" outlineLevel="2" x14ac:dyDescent="0.25">
      <c r="A95" s="75" t="s">
        <v>20</v>
      </c>
      <c r="B95" s="76" t="s">
        <v>24</v>
      </c>
      <c r="C95" s="76" t="s">
        <v>140</v>
      </c>
      <c r="D95" s="76" t="s">
        <v>561</v>
      </c>
      <c r="E95" s="19">
        <v>650</v>
      </c>
      <c r="F95" s="19">
        <v>650</v>
      </c>
      <c r="G95" s="1">
        <v>650</v>
      </c>
    </row>
    <row r="96" spans="1:7" ht="63" outlineLevel="2" x14ac:dyDescent="0.25">
      <c r="A96" s="75" t="s">
        <v>648</v>
      </c>
      <c r="B96" s="76" t="s">
        <v>24</v>
      </c>
      <c r="C96" s="76" t="s">
        <v>650</v>
      </c>
      <c r="D96" s="76"/>
      <c r="E96" s="1">
        <f>+E97</f>
        <v>5899.5</v>
      </c>
      <c r="F96" s="1">
        <f t="shared" ref="F96:G96" si="26">+F97</f>
        <v>0</v>
      </c>
      <c r="G96" s="1">
        <f t="shared" si="26"/>
        <v>0</v>
      </c>
    </row>
    <row r="97" spans="1:7" ht="47.25" outlineLevel="2" x14ac:dyDescent="0.25">
      <c r="A97" s="75" t="s">
        <v>94</v>
      </c>
      <c r="B97" s="76" t="s">
        <v>24</v>
      </c>
      <c r="C97" s="76" t="s">
        <v>650</v>
      </c>
      <c r="D97" s="76" t="s">
        <v>95</v>
      </c>
      <c r="E97" s="19">
        <v>5899.5</v>
      </c>
      <c r="F97" s="19">
        <v>0</v>
      </c>
      <c r="G97" s="1">
        <v>0</v>
      </c>
    </row>
    <row r="98" spans="1:7" ht="63" outlineLevel="2" x14ac:dyDescent="0.25">
      <c r="A98" s="75" t="s">
        <v>649</v>
      </c>
      <c r="B98" s="76" t="s">
        <v>24</v>
      </c>
      <c r="C98" s="76" t="s">
        <v>651</v>
      </c>
      <c r="D98" s="76"/>
      <c r="E98" s="1">
        <f>+E99</f>
        <v>11307.5</v>
      </c>
      <c r="F98" s="1">
        <f t="shared" ref="F98:G98" si="27">+F99</f>
        <v>0</v>
      </c>
      <c r="G98" s="1">
        <f t="shared" si="27"/>
        <v>0</v>
      </c>
    </row>
    <row r="99" spans="1:7" ht="47.25" outlineLevel="2" x14ac:dyDescent="0.25">
      <c r="A99" s="75" t="s">
        <v>94</v>
      </c>
      <c r="B99" s="76" t="s">
        <v>24</v>
      </c>
      <c r="C99" s="76" t="s">
        <v>651</v>
      </c>
      <c r="D99" s="76" t="s">
        <v>95</v>
      </c>
      <c r="E99" s="19">
        <v>11307.5</v>
      </c>
      <c r="F99" s="19">
        <v>0</v>
      </c>
      <c r="G99" s="1">
        <v>0</v>
      </c>
    </row>
    <row r="100" spans="1:7" ht="47.25" outlineLevel="2" x14ac:dyDescent="0.25">
      <c r="A100" s="74" t="s">
        <v>645</v>
      </c>
      <c r="B100" s="76" t="s">
        <v>24</v>
      </c>
      <c r="C100" s="76" t="s">
        <v>646</v>
      </c>
      <c r="D100" s="76"/>
      <c r="E100" s="1">
        <f>+E101</f>
        <v>2934.1</v>
      </c>
      <c r="F100" s="1">
        <v>0</v>
      </c>
      <c r="G100" s="1">
        <v>0</v>
      </c>
    </row>
    <row r="101" spans="1:7" ht="47.25" outlineLevel="2" x14ac:dyDescent="0.25">
      <c r="A101" s="75" t="s">
        <v>94</v>
      </c>
      <c r="B101" s="76" t="s">
        <v>24</v>
      </c>
      <c r="C101" s="76" t="s">
        <v>646</v>
      </c>
      <c r="D101" s="76" t="s">
        <v>95</v>
      </c>
      <c r="E101" s="19">
        <v>2934.1</v>
      </c>
      <c r="F101" s="19">
        <v>0</v>
      </c>
      <c r="G101" s="1">
        <v>0</v>
      </c>
    </row>
    <row r="102" spans="1:7" ht="47.25" outlineLevel="2" x14ac:dyDescent="0.25">
      <c r="A102" s="75" t="s">
        <v>652</v>
      </c>
      <c r="B102" s="76" t="s">
        <v>24</v>
      </c>
      <c r="C102" s="76" t="s">
        <v>653</v>
      </c>
      <c r="D102" s="76"/>
      <c r="E102" s="1">
        <f>+E103</f>
        <v>400</v>
      </c>
      <c r="F102" s="1">
        <v>0</v>
      </c>
      <c r="G102" s="1">
        <v>0</v>
      </c>
    </row>
    <row r="103" spans="1:7" ht="47.25" outlineLevel="2" x14ac:dyDescent="0.25">
      <c r="A103" s="75" t="s">
        <v>94</v>
      </c>
      <c r="B103" s="76" t="s">
        <v>24</v>
      </c>
      <c r="C103" s="76" t="s">
        <v>653</v>
      </c>
      <c r="D103" s="76" t="s">
        <v>95</v>
      </c>
      <c r="E103" s="19">
        <v>400</v>
      </c>
      <c r="F103" s="19">
        <v>0</v>
      </c>
      <c r="G103" s="1">
        <v>0</v>
      </c>
    </row>
    <row r="104" spans="1:7" ht="47.25" outlineLevel="2" x14ac:dyDescent="0.25">
      <c r="A104" s="29" t="s">
        <v>59</v>
      </c>
      <c r="B104" s="3" t="s">
        <v>24</v>
      </c>
      <c r="C104" s="3" t="s">
        <v>60</v>
      </c>
      <c r="D104" s="18"/>
      <c r="E104" s="1">
        <f>E105</f>
        <v>102719.79999999999</v>
      </c>
      <c r="F104" s="1">
        <f t="shared" ref="E104:G105" si="28">F105</f>
        <v>99289.099999999991</v>
      </c>
      <c r="G104" s="19">
        <f t="shared" si="28"/>
        <v>100798.29999999999</v>
      </c>
    </row>
    <row r="105" spans="1:7" outlineLevel="2" x14ac:dyDescent="0.25">
      <c r="A105" s="29" t="s">
        <v>144</v>
      </c>
      <c r="B105" s="3" t="s">
        <v>24</v>
      </c>
      <c r="C105" s="3" t="s">
        <v>135</v>
      </c>
      <c r="D105" s="18"/>
      <c r="E105" s="19">
        <f t="shared" si="28"/>
        <v>102719.79999999999</v>
      </c>
      <c r="F105" s="19">
        <f t="shared" si="28"/>
        <v>99289.099999999991</v>
      </c>
      <c r="G105" s="19">
        <f t="shared" si="28"/>
        <v>100798.29999999999</v>
      </c>
    </row>
    <row r="106" spans="1:7" ht="110.25" outlineLevel="2" x14ac:dyDescent="0.25">
      <c r="A106" s="29" t="s">
        <v>501</v>
      </c>
      <c r="B106" s="3" t="s">
        <v>24</v>
      </c>
      <c r="C106" s="3" t="s">
        <v>402</v>
      </c>
      <c r="D106" s="18"/>
      <c r="E106" s="1">
        <f>E107+E112</f>
        <v>102719.79999999999</v>
      </c>
      <c r="F106" s="1">
        <f>F107+F112</f>
        <v>99289.099999999991</v>
      </c>
      <c r="G106" s="19">
        <f>G107+G112</f>
        <v>100798.29999999999</v>
      </c>
    </row>
    <row r="107" spans="1:7" ht="47.25" outlineLevel="2" x14ac:dyDescent="0.25">
      <c r="A107" s="8" t="s">
        <v>159</v>
      </c>
      <c r="B107" s="3" t="s">
        <v>24</v>
      </c>
      <c r="C107" s="3" t="s">
        <v>482</v>
      </c>
      <c r="D107" s="30"/>
      <c r="E107" s="19">
        <f>E108+E109+E111+E110</f>
        <v>64704.499999999993</v>
      </c>
      <c r="F107" s="19">
        <f t="shared" ref="F107:G107" si="29">F108+F109+F111</f>
        <v>59805.999999999993</v>
      </c>
      <c r="G107" s="19">
        <f t="shared" si="29"/>
        <v>59805.999999999993</v>
      </c>
    </row>
    <row r="108" spans="1:7" ht="94.5" outlineLevel="2" x14ac:dyDescent="0.25">
      <c r="A108" s="20" t="s">
        <v>75</v>
      </c>
      <c r="B108" s="3" t="s">
        <v>24</v>
      </c>
      <c r="C108" s="3" t="s">
        <v>482</v>
      </c>
      <c r="D108" s="30">
        <v>100</v>
      </c>
      <c r="E108" s="1">
        <f>55534.7+4071.7+98.6+545.9</f>
        <v>60250.899999999994</v>
      </c>
      <c r="F108" s="1">
        <v>57388.2</v>
      </c>
      <c r="G108" s="19">
        <v>57388.2</v>
      </c>
    </row>
    <row r="109" spans="1:7" ht="31.5" outlineLevel="2" x14ac:dyDescent="0.25">
      <c r="A109" s="20" t="s">
        <v>76</v>
      </c>
      <c r="B109" s="3" t="s">
        <v>24</v>
      </c>
      <c r="C109" s="3" t="s">
        <v>482</v>
      </c>
      <c r="D109" s="30">
        <v>200</v>
      </c>
      <c r="E109" s="19">
        <f>2418.3-98.6</f>
        <v>2319.7000000000003</v>
      </c>
      <c r="F109" s="19">
        <v>2187.6999999999998</v>
      </c>
      <c r="G109" s="19">
        <v>2187.6999999999998</v>
      </c>
    </row>
    <row r="110" spans="1:7" ht="31.5" outlineLevel="2" x14ac:dyDescent="0.25">
      <c r="A110" s="78" t="s">
        <v>20</v>
      </c>
      <c r="B110" s="76" t="s">
        <v>24</v>
      </c>
      <c r="C110" s="76" t="s">
        <v>482</v>
      </c>
      <c r="D110" s="76">
        <v>300</v>
      </c>
      <c r="E110" s="1">
        <v>915</v>
      </c>
      <c r="F110" s="1">
        <v>0</v>
      </c>
      <c r="G110" s="19">
        <v>0</v>
      </c>
    </row>
    <row r="111" spans="1:7" outlineLevel="2" x14ac:dyDescent="0.25">
      <c r="A111" s="8" t="s">
        <v>33</v>
      </c>
      <c r="B111" s="3" t="s">
        <v>24</v>
      </c>
      <c r="C111" s="3" t="s">
        <v>482</v>
      </c>
      <c r="D111" s="30">
        <v>800</v>
      </c>
      <c r="E111" s="19">
        <f>230.1+988.8</f>
        <v>1218.8999999999999</v>
      </c>
      <c r="F111" s="19">
        <v>230.1</v>
      </c>
      <c r="G111" s="19">
        <v>230.1</v>
      </c>
    </row>
    <row r="112" spans="1:7" ht="47.25" outlineLevel="2" x14ac:dyDescent="0.25">
      <c r="A112" s="20" t="s">
        <v>151</v>
      </c>
      <c r="B112" s="3" t="s">
        <v>24</v>
      </c>
      <c r="C112" s="3" t="s">
        <v>479</v>
      </c>
      <c r="D112" s="30"/>
      <c r="E112" s="1">
        <f>E113+E114</f>
        <v>38015.299999999996</v>
      </c>
      <c r="F112" s="1">
        <f>F113+F114</f>
        <v>39483.1</v>
      </c>
      <c r="G112" s="19">
        <f>G113+G114</f>
        <v>40992.299999999996</v>
      </c>
    </row>
    <row r="113" spans="1:7" ht="94.5" outlineLevel="2" x14ac:dyDescent="0.25">
      <c r="A113" s="8" t="s">
        <v>75</v>
      </c>
      <c r="B113" s="3" t="s">
        <v>24</v>
      </c>
      <c r="C113" s="3" t="s">
        <v>479</v>
      </c>
      <c r="D113" s="30">
        <v>100</v>
      </c>
      <c r="E113" s="19">
        <f>27865.8+8415.4</f>
        <v>36281.199999999997</v>
      </c>
      <c r="F113" s="19">
        <f>28980.4+8752.1</f>
        <v>37732.5</v>
      </c>
      <c r="G113" s="19">
        <f>30139.6+9102.1</f>
        <v>39241.699999999997</v>
      </c>
    </row>
    <row r="114" spans="1:7" ht="31.5" outlineLevel="2" x14ac:dyDescent="0.25">
      <c r="A114" s="8" t="s">
        <v>76</v>
      </c>
      <c r="B114" s="3" t="s">
        <v>24</v>
      </c>
      <c r="C114" s="3" t="s">
        <v>479</v>
      </c>
      <c r="D114" s="30">
        <v>200</v>
      </c>
      <c r="E114" s="1">
        <v>1734.1</v>
      </c>
      <c r="F114" s="1">
        <v>1750.6</v>
      </c>
      <c r="G114" s="19">
        <v>1750.6</v>
      </c>
    </row>
    <row r="115" spans="1:7" ht="78.75" outlineLevel="2" x14ac:dyDescent="0.25">
      <c r="A115" s="17" t="s">
        <v>348</v>
      </c>
      <c r="B115" s="3" t="s">
        <v>24</v>
      </c>
      <c r="C115" s="3" t="s">
        <v>54</v>
      </c>
      <c r="D115" s="30"/>
      <c r="E115" s="19">
        <f t="shared" ref="E115:G118" si="30">E116</f>
        <v>278.5</v>
      </c>
      <c r="F115" s="19">
        <f t="shared" si="30"/>
        <v>278.5</v>
      </c>
      <c r="G115" s="19">
        <f t="shared" si="30"/>
        <v>278.5</v>
      </c>
    </row>
    <row r="116" spans="1:7" outlineLevel="2" x14ac:dyDescent="0.25">
      <c r="A116" s="31" t="s">
        <v>144</v>
      </c>
      <c r="B116" s="3" t="s">
        <v>24</v>
      </c>
      <c r="C116" s="3" t="s">
        <v>83</v>
      </c>
      <c r="D116" s="30"/>
      <c r="E116" s="1">
        <f t="shared" si="30"/>
        <v>278.5</v>
      </c>
      <c r="F116" s="1">
        <f t="shared" si="30"/>
        <v>278.5</v>
      </c>
      <c r="G116" s="19">
        <f t="shared" si="30"/>
        <v>278.5</v>
      </c>
    </row>
    <row r="117" spans="1:7" ht="78.75" outlineLevel="2" x14ac:dyDescent="0.25">
      <c r="A117" s="17" t="s">
        <v>512</v>
      </c>
      <c r="B117" s="3" t="s">
        <v>24</v>
      </c>
      <c r="C117" s="3" t="s">
        <v>405</v>
      </c>
      <c r="D117" s="30"/>
      <c r="E117" s="19">
        <f t="shared" si="30"/>
        <v>278.5</v>
      </c>
      <c r="F117" s="19">
        <f t="shared" si="30"/>
        <v>278.5</v>
      </c>
      <c r="G117" s="19">
        <f t="shared" si="30"/>
        <v>278.5</v>
      </c>
    </row>
    <row r="118" spans="1:7" ht="63" outlineLevel="2" x14ac:dyDescent="0.25">
      <c r="A118" s="8" t="s">
        <v>480</v>
      </c>
      <c r="B118" s="3" t="s">
        <v>24</v>
      </c>
      <c r="C118" s="3" t="s">
        <v>481</v>
      </c>
      <c r="D118" s="30"/>
      <c r="E118" s="1">
        <f t="shared" si="30"/>
        <v>278.5</v>
      </c>
      <c r="F118" s="1">
        <f t="shared" si="30"/>
        <v>278.5</v>
      </c>
      <c r="G118" s="19">
        <f t="shared" si="30"/>
        <v>278.5</v>
      </c>
    </row>
    <row r="119" spans="1:7" ht="31.5" outlineLevel="2" x14ac:dyDescent="0.25">
      <c r="A119" s="8" t="s">
        <v>76</v>
      </c>
      <c r="B119" s="3" t="s">
        <v>24</v>
      </c>
      <c r="C119" s="3" t="s">
        <v>481</v>
      </c>
      <c r="D119" s="30">
        <v>200</v>
      </c>
      <c r="E119" s="19">
        <v>278.5</v>
      </c>
      <c r="F119" s="19">
        <v>278.5</v>
      </c>
      <c r="G119" s="19">
        <v>278.5</v>
      </c>
    </row>
    <row r="120" spans="1:7" ht="31.5" x14ac:dyDescent="0.25">
      <c r="A120" s="13" t="s">
        <v>67</v>
      </c>
      <c r="B120" s="14" t="s">
        <v>68</v>
      </c>
      <c r="C120" s="14"/>
      <c r="D120" s="15"/>
      <c r="E120" s="97">
        <f>E121</f>
        <v>186862.5</v>
      </c>
      <c r="F120" s="97">
        <f t="shared" ref="F120:G121" si="31">F121</f>
        <v>178334.8</v>
      </c>
      <c r="G120" s="32">
        <f t="shared" si="31"/>
        <v>181922.19999999998</v>
      </c>
    </row>
    <row r="121" spans="1:7" ht="47.25" outlineLevel="1" x14ac:dyDescent="0.25">
      <c r="A121" s="8" t="s">
        <v>69</v>
      </c>
      <c r="B121" s="18" t="s">
        <v>70</v>
      </c>
      <c r="C121" s="18"/>
      <c r="D121" s="9"/>
      <c r="E121" s="19">
        <f>E122</f>
        <v>186862.5</v>
      </c>
      <c r="F121" s="19">
        <f t="shared" si="31"/>
        <v>178334.8</v>
      </c>
      <c r="G121" s="19">
        <f t="shared" si="31"/>
        <v>181922.19999999998</v>
      </c>
    </row>
    <row r="122" spans="1:7" ht="47.25" outlineLevel="2" x14ac:dyDescent="0.25">
      <c r="A122" s="8" t="s">
        <v>49</v>
      </c>
      <c r="B122" s="18" t="s">
        <v>70</v>
      </c>
      <c r="C122" s="18" t="s">
        <v>50</v>
      </c>
      <c r="D122" s="9"/>
      <c r="E122" s="1">
        <f>E123+E127</f>
        <v>186862.5</v>
      </c>
      <c r="F122" s="1">
        <f t="shared" ref="F122:G122" si="32">F123+F127</f>
        <v>178334.8</v>
      </c>
      <c r="G122" s="19">
        <f t="shared" si="32"/>
        <v>181922.19999999998</v>
      </c>
    </row>
    <row r="123" spans="1:7" ht="31.5" outlineLevel="2" x14ac:dyDescent="0.25">
      <c r="A123" s="33" t="s">
        <v>155</v>
      </c>
      <c r="B123" s="18" t="s">
        <v>70</v>
      </c>
      <c r="C123" s="18" t="s">
        <v>71</v>
      </c>
      <c r="D123" s="9"/>
      <c r="E123" s="19">
        <f>E124</f>
        <v>3936.2</v>
      </c>
      <c r="F123" s="19">
        <f t="shared" ref="F123:G125" si="33">F124</f>
        <v>3932</v>
      </c>
      <c r="G123" s="19">
        <f t="shared" si="33"/>
        <v>3932</v>
      </c>
    </row>
    <row r="124" spans="1:7" ht="47.25" outlineLevel="2" x14ac:dyDescent="0.25">
      <c r="A124" s="33" t="s">
        <v>145</v>
      </c>
      <c r="B124" s="18" t="s">
        <v>70</v>
      </c>
      <c r="C124" s="18" t="s">
        <v>72</v>
      </c>
      <c r="D124" s="9"/>
      <c r="E124" s="19">
        <f>E125</f>
        <v>3936.2</v>
      </c>
      <c r="F124" s="19">
        <f t="shared" si="33"/>
        <v>3932</v>
      </c>
      <c r="G124" s="19">
        <f t="shared" si="33"/>
        <v>3932</v>
      </c>
    </row>
    <row r="125" spans="1:7" ht="31.5" outlineLevel="2" x14ac:dyDescent="0.25">
      <c r="A125" s="34" t="s">
        <v>146</v>
      </c>
      <c r="B125" s="18" t="s">
        <v>70</v>
      </c>
      <c r="C125" s="18" t="s">
        <v>147</v>
      </c>
      <c r="D125" s="9"/>
      <c r="E125" s="1">
        <f>E126</f>
        <v>3936.2</v>
      </c>
      <c r="F125" s="1">
        <f t="shared" si="33"/>
        <v>3932</v>
      </c>
      <c r="G125" s="19">
        <f t="shared" si="33"/>
        <v>3932</v>
      </c>
    </row>
    <row r="126" spans="1:7" ht="31.5" outlineLevel="2" x14ac:dyDescent="0.25">
      <c r="A126" s="20" t="s">
        <v>76</v>
      </c>
      <c r="B126" s="18" t="s">
        <v>70</v>
      </c>
      <c r="C126" s="18" t="s">
        <v>147</v>
      </c>
      <c r="D126" s="9">
        <v>200</v>
      </c>
      <c r="E126" s="19">
        <f>2281.2+99.3+1555.7</f>
        <v>3936.2</v>
      </c>
      <c r="F126" s="19">
        <f>2281.2+99+1551.8</f>
        <v>3932</v>
      </c>
      <c r="G126" s="19">
        <f>2281.2+99+1551.8</f>
        <v>3932</v>
      </c>
    </row>
    <row r="127" spans="1:7" outlineLevel="2" x14ac:dyDescent="0.25">
      <c r="A127" s="35" t="s">
        <v>144</v>
      </c>
      <c r="B127" s="18" t="s">
        <v>70</v>
      </c>
      <c r="C127" s="18" t="s">
        <v>73</v>
      </c>
      <c r="D127" s="9"/>
      <c r="E127" s="19">
        <f>E128</f>
        <v>182926.3</v>
      </c>
      <c r="F127" s="19">
        <f t="shared" ref="F127:G127" si="34">F128</f>
        <v>174402.8</v>
      </c>
      <c r="G127" s="19">
        <f t="shared" si="34"/>
        <v>177990.19999999998</v>
      </c>
    </row>
    <row r="128" spans="1:7" ht="126" outlineLevel="2" x14ac:dyDescent="0.25">
      <c r="A128" s="35" t="s">
        <v>507</v>
      </c>
      <c r="B128" s="18" t="s">
        <v>70</v>
      </c>
      <c r="C128" s="18" t="s">
        <v>74</v>
      </c>
      <c r="D128" s="9"/>
      <c r="E128" s="1">
        <f>E129+E131+E133+E137</f>
        <v>182926.3</v>
      </c>
      <c r="F128" s="1">
        <f t="shared" ref="F128:G128" si="35">F129+F131+F133+F137</f>
        <v>174402.8</v>
      </c>
      <c r="G128" s="19">
        <f t="shared" si="35"/>
        <v>177990.19999999998</v>
      </c>
    </row>
    <row r="129" spans="1:7" ht="31.5" outlineLevel="2" x14ac:dyDescent="0.25">
      <c r="A129" s="20" t="s">
        <v>492</v>
      </c>
      <c r="B129" s="18" t="s">
        <v>70</v>
      </c>
      <c r="C129" s="18" t="s">
        <v>148</v>
      </c>
      <c r="D129" s="9"/>
      <c r="E129" s="19">
        <f>E130</f>
        <v>49591.6</v>
      </c>
      <c r="F129" s="19">
        <f>F130</f>
        <v>49591.6</v>
      </c>
      <c r="G129" s="19">
        <f>G130</f>
        <v>49591.6</v>
      </c>
    </row>
    <row r="130" spans="1:7" ht="31.5" outlineLevel="2" x14ac:dyDescent="0.25">
      <c r="A130" s="20" t="s">
        <v>76</v>
      </c>
      <c r="B130" s="18" t="s">
        <v>70</v>
      </c>
      <c r="C130" s="18" t="s">
        <v>148</v>
      </c>
      <c r="D130" s="9">
        <v>200</v>
      </c>
      <c r="E130" s="19">
        <v>49591.6</v>
      </c>
      <c r="F130" s="19">
        <v>49591.6</v>
      </c>
      <c r="G130" s="19">
        <v>49591.6</v>
      </c>
    </row>
    <row r="131" spans="1:7" ht="63" outlineLevel="2" x14ac:dyDescent="0.25">
      <c r="A131" s="20" t="s">
        <v>149</v>
      </c>
      <c r="B131" s="18" t="s">
        <v>70</v>
      </c>
      <c r="C131" s="18" t="s">
        <v>150</v>
      </c>
      <c r="D131" s="9"/>
      <c r="E131" s="1">
        <f>E132</f>
        <v>9282.5</v>
      </c>
      <c r="F131" s="1">
        <f t="shared" ref="F131:G131" si="36">F132</f>
        <v>6539.7</v>
      </c>
      <c r="G131" s="19">
        <f t="shared" si="36"/>
        <v>6539.7</v>
      </c>
    </row>
    <row r="132" spans="1:7" ht="31.5" outlineLevel="2" x14ac:dyDescent="0.25">
      <c r="A132" s="20" t="s">
        <v>76</v>
      </c>
      <c r="B132" s="18" t="s">
        <v>70</v>
      </c>
      <c r="C132" s="18" t="s">
        <v>150</v>
      </c>
      <c r="D132" s="9">
        <v>200</v>
      </c>
      <c r="E132" s="19">
        <f>5306.5+1233.2+2742.8</f>
        <v>9282.5</v>
      </c>
      <c r="F132" s="19">
        <f t="shared" ref="F132:G132" si="37">5306.5+1233.2</f>
        <v>6539.7</v>
      </c>
      <c r="G132" s="19">
        <f t="shared" si="37"/>
        <v>6539.7</v>
      </c>
    </row>
    <row r="133" spans="1:7" ht="47.25" outlineLevel="2" x14ac:dyDescent="0.25">
      <c r="A133" s="20" t="s">
        <v>151</v>
      </c>
      <c r="B133" s="18" t="s">
        <v>70</v>
      </c>
      <c r="C133" s="18" t="s">
        <v>152</v>
      </c>
      <c r="D133" s="9"/>
      <c r="E133" s="19">
        <f>E134+E135+E136</f>
        <v>122724.29999999999</v>
      </c>
      <c r="F133" s="19">
        <f t="shared" ref="F133:G133" si="38">F134+F135+F136</f>
        <v>118271.5</v>
      </c>
      <c r="G133" s="19">
        <f t="shared" si="38"/>
        <v>121858.9</v>
      </c>
    </row>
    <row r="134" spans="1:7" ht="94.5" outlineLevel="2" x14ac:dyDescent="0.25">
      <c r="A134" s="17" t="s">
        <v>13</v>
      </c>
      <c r="B134" s="18" t="s">
        <v>70</v>
      </c>
      <c r="C134" s="18" t="s">
        <v>152</v>
      </c>
      <c r="D134" s="9">
        <v>100</v>
      </c>
      <c r="E134" s="1">
        <f>98700.9+676.7+4192.2</f>
        <v>103569.79999999999</v>
      </c>
      <c r="F134" s="1">
        <f>102447+676.7-99</f>
        <v>103024.7</v>
      </c>
      <c r="G134" s="19">
        <f>106341.7+676.7-99</f>
        <v>106919.4</v>
      </c>
    </row>
    <row r="135" spans="1:7" ht="31.5" outlineLevel="2" x14ac:dyDescent="0.25">
      <c r="A135" s="17" t="s">
        <v>76</v>
      </c>
      <c r="B135" s="18" t="s">
        <v>70</v>
      </c>
      <c r="C135" s="18" t="s">
        <v>152</v>
      </c>
      <c r="D135" s="9">
        <v>200</v>
      </c>
      <c r="E135" s="19">
        <f>675.7+681.1+232.1+250+1499.9+4839.1+406.6+397.9+1300+580+7589.2-1233.2+291.3+800</f>
        <v>18309.699999999997</v>
      </c>
      <c r="F135" s="19">
        <f>675.7+681.1+250+1499.9+5085.2+406.6+397.9+1300+580+4758.8-1233.2</f>
        <v>14402</v>
      </c>
      <c r="G135" s="19">
        <f>675.7+281.1+250+1499.9+5324.9+406.6+397.9+1300+580+4611.8-1233.2</f>
        <v>14094.7</v>
      </c>
    </row>
    <row r="136" spans="1:7" outlineLevel="2" x14ac:dyDescent="0.25">
      <c r="A136" s="22" t="s">
        <v>33</v>
      </c>
      <c r="B136" s="18" t="s">
        <v>70</v>
      </c>
      <c r="C136" s="18" t="s">
        <v>152</v>
      </c>
      <c r="D136" s="9">
        <v>800</v>
      </c>
      <c r="E136" s="19">
        <v>844.8</v>
      </c>
      <c r="F136" s="19">
        <v>844.8</v>
      </c>
      <c r="G136" s="19">
        <v>844.8</v>
      </c>
    </row>
    <row r="137" spans="1:7" ht="78.75" outlineLevel="2" x14ac:dyDescent="0.25">
      <c r="A137" s="77" t="s">
        <v>751</v>
      </c>
      <c r="B137" s="76" t="s">
        <v>70</v>
      </c>
      <c r="C137" s="76" t="s">
        <v>654</v>
      </c>
      <c r="D137" s="9"/>
      <c r="E137" s="1">
        <f>+E138</f>
        <v>1327.9</v>
      </c>
      <c r="F137" s="1">
        <f t="shared" ref="F137:G137" si="39">+F138</f>
        <v>0</v>
      </c>
      <c r="G137" s="19">
        <f t="shared" si="39"/>
        <v>0</v>
      </c>
    </row>
    <row r="138" spans="1:7" ht="31.5" outlineLevel="2" x14ac:dyDescent="0.25">
      <c r="A138" s="80" t="s">
        <v>20</v>
      </c>
      <c r="B138" s="76" t="s">
        <v>70</v>
      </c>
      <c r="C138" s="76" t="s">
        <v>654</v>
      </c>
      <c r="D138" s="76" t="s">
        <v>561</v>
      </c>
      <c r="E138" s="19">
        <v>1327.9</v>
      </c>
      <c r="F138" s="19">
        <v>0</v>
      </c>
      <c r="G138" s="19">
        <v>0</v>
      </c>
    </row>
    <row r="139" spans="1:7" x14ac:dyDescent="0.25">
      <c r="A139" s="36" t="s">
        <v>48</v>
      </c>
      <c r="B139" s="37" t="s">
        <v>290</v>
      </c>
      <c r="C139" s="38"/>
      <c r="D139" s="38"/>
      <c r="E139" s="16">
        <f>E150+E162+E243+E140+E146</f>
        <v>1803484.9999999998</v>
      </c>
      <c r="F139" s="16">
        <f t="shared" ref="F139" si="40">F150+F162+F243+F140</f>
        <v>1369202.1</v>
      </c>
      <c r="G139" s="16">
        <f>G150+G162+G243+G140</f>
        <v>562620.5</v>
      </c>
    </row>
    <row r="140" spans="1:7" outlineLevel="1" x14ac:dyDescent="0.25">
      <c r="A140" s="8" t="s">
        <v>378</v>
      </c>
      <c r="B140" s="23" t="s">
        <v>379</v>
      </c>
      <c r="C140" s="23"/>
      <c r="D140" s="24"/>
      <c r="E140" s="19">
        <f>E141</f>
        <v>20296.900000000001</v>
      </c>
      <c r="F140" s="19">
        <f>F141</f>
        <v>20296.900000000001</v>
      </c>
      <c r="G140" s="19">
        <f t="shared" ref="F140:G144" si="41">G141</f>
        <v>20296.900000000001</v>
      </c>
    </row>
    <row r="141" spans="1:7" ht="47.25" outlineLevel="2" x14ac:dyDescent="0.25">
      <c r="A141" s="20" t="s">
        <v>49</v>
      </c>
      <c r="B141" s="23" t="s">
        <v>379</v>
      </c>
      <c r="C141" s="18" t="s">
        <v>50</v>
      </c>
      <c r="D141" s="24"/>
      <c r="E141" s="19">
        <f>E142</f>
        <v>20296.900000000001</v>
      </c>
      <c r="F141" s="19">
        <f t="shared" si="41"/>
        <v>20296.900000000001</v>
      </c>
      <c r="G141" s="19">
        <f t="shared" si="41"/>
        <v>20296.900000000001</v>
      </c>
    </row>
    <row r="142" spans="1:7" ht="31.5" outlineLevel="2" x14ac:dyDescent="0.25">
      <c r="A142" s="39" t="s">
        <v>155</v>
      </c>
      <c r="B142" s="23" t="s">
        <v>379</v>
      </c>
      <c r="C142" s="23" t="s">
        <v>71</v>
      </c>
      <c r="D142" s="24"/>
      <c r="E142" s="1">
        <f>E143</f>
        <v>20296.900000000001</v>
      </c>
      <c r="F142" s="1">
        <f t="shared" si="41"/>
        <v>20296.900000000001</v>
      </c>
      <c r="G142" s="1">
        <f t="shared" si="41"/>
        <v>20296.900000000001</v>
      </c>
    </row>
    <row r="143" spans="1:7" ht="47.25" outlineLevel="2" x14ac:dyDescent="0.25">
      <c r="A143" s="39" t="s">
        <v>380</v>
      </c>
      <c r="B143" s="23" t="s">
        <v>379</v>
      </c>
      <c r="C143" s="23" t="s">
        <v>381</v>
      </c>
      <c r="D143" s="24"/>
      <c r="E143" s="19">
        <f>E144</f>
        <v>20296.900000000001</v>
      </c>
      <c r="F143" s="19">
        <f t="shared" si="41"/>
        <v>20296.900000000001</v>
      </c>
      <c r="G143" s="19">
        <f t="shared" si="41"/>
        <v>20296.900000000001</v>
      </c>
    </row>
    <row r="144" spans="1:7" ht="63" outlineLevel="2" x14ac:dyDescent="0.25">
      <c r="A144" s="2" t="s">
        <v>382</v>
      </c>
      <c r="B144" s="23" t="s">
        <v>379</v>
      </c>
      <c r="C144" s="18" t="s">
        <v>383</v>
      </c>
      <c r="D144" s="24"/>
      <c r="E144" s="19">
        <f>E145</f>
        <v>20296.900000000001</v>
      </c>
      <c r="F144" s="19">
        <f t="shared" si="41"/>
        <v>20296.900000000001</v>
      </c>
      <c r="G144" s="19">
        <f t="shared" si="41"/>
        <v>20296.900000000001</v>
      </c>
    </row>
    <row r="145" spans="1:7" ht="31.5" outlineLevel="2" x14ac:dyDescent="0.25">
      <c r="A145" s="20" t="s">
        <v>76</v>
      </c>
      <c r="B145" s="23" t="s">
        <v>379</v>
      </c>
      <c r="C145" s="18" t="s">
        <v>383</v>
      </c>
      <c r="D145" s="24">
        <v>200</v>
      </c>
      <c r="E145" s="1">
        <f>18864.2-65.7+1498.4</f>
        <v>20296.900000000001</v>
      </c>
      <c r="F145" s="1">
        <f>18864.2-65.7+1498.4</f>
        <v>20296.900000000001</v>
      </c>
      <c r="G145" s="1">
        <f>18864.2-65.7+1498.4</f>
        <v>20296.900000000001</v>
      </c>
    </row>
    <row r="146" spans="1:7" outlineLevel="2" x14ac:dyDescent="0.25">
      <c r="A146" s="84" t="s">
        <v>655</v>
      </c>
      <c r="B146" s="76" t="s">
        <v>657</v>
      </c>
      <c r="C146" s="76"/>
      <c r="D146" s="76"/>
      <c r="E146" s="19">
        <f>+E147</f>
        <v>232.6</v>
      </c>
      <c r="F146" s="19">
        <f t="shared" ref="F146:G148" si="42">+F147</f>
        <v>0</v>
      </c>
      <c r="G146" s="19">
        <f t="shared" si="42"/>
        <v>0</v>
      </c>
    </row>
    <row r="147" spans="1:7" outlineLevel="2" x14ac:dyDescent="0.25">
      <c r="A147" s="75" t="s">
        <v>9</v>
      </c>
      <c r="B147" s="76" t="s">
        <v>657</v>
      </c>
      <c r="C147" s="76" t="s">
        <v>10</v>
      </c>
      <c r="D147" s="76"/>
      <c r="E147" s="19">
        <f>+E148</f>
        <v>232.6</v>
      </c>
      <c r="F147" s="19">
        <f t="shared" si="42"/>
        <v>0</v>
      </c>
      <c r="G147" s="19">
        <f t="shared" si="42"/>
        <v>0</v>
      </c>
    </row>
    <row r="148" spans="1:7" ht="94.5" outlineLevel="2" x14ac:dyDescent="0.25">
      <c r="A148" s="74" t="s">
        <v>656</v>
      </c>
      <c r="B148" s="76" t="s">
        <v>657</v>
      </c>
      <c r="C148" s="76" t="s">
        <v>658</v>
      </c>
      <c r="D148" s="76"/>
      <c r="E148" s="1">
        <f>+E149</f>
        <v>232.6</v>
      </c>
      <c r="F148" s="1">
        <f t="shared" si="42"/>
        <v>0</v>
      </c>
      <c r="G148" s="1">
        <f t="shared" si="42"/>
        <v>0</v>
      </c>
    </row>
    <row r="149" spans="1:7" ht="47.25" outlineLevel="2" x14ac:dyDescent="0.25">
      <c r="A149" s="77" t="s">
        <v>310</v>
      </c>
      <c r="B149" s="76" t="s">
        <v>657</v>
      </c>
      <c r="C149" s="76" t="s">
        <v>658</v>
      </c>
      <c r="D149" s="76" t="s">
        <v>465</v>
      </c>
      <c r="E149" s="19">
        <v>232.6</v>
      </c>
      <c r="F149" s="19">
        <v>0</v>
      </c>
      <c r="G149" s="19">
        <v>0</v>
      </c>
    </row>
    <row r="150" spans="1:7" outlineLevel="1" x14ac:dyDescent="0.25">
      <c r="A150" s="40" t="s">
        <v>291</v>
      </c>
      <c r="B150" s="23" t="s">
        <v>292</v>
      </c>
      <c r="C150" s="37"/>
      <c r="D150" s="3"/>
      <c r="E150" s="19">
        <f>E151</f>
        <v>150244.5</v>
      </c>
      <c r="F150" s="19">
        <f t="shared" ref="F150:G152" si="43">F151</f>
        <v>66734.5</v>
      </c>
      <c r="G150" s="19">
        <f t="shared" si="43"/>
        <v>69403.900000000009</v>
      </c>
    </row>
    <row r="151" spans="1:7" ht="31.5" outlineLevel="2" x14ac:dyDescent="0.25">
      <c r="A151" s="41" t="s">
        <v>293</v>
      </c>
      <c r="B151" s="23" t="s">
        <v>292</v>
      </c>
      <c r="C151" s="23" t="s">
        <v>294</v>
      </c>
      <c r="D151" s="24"/>
      <c r="E151" s="1">
        <f>E152</f>
        <v>150244.5</v>
      </c>
      <c r="F151" s="1">
        <f t="shared" si="43"/>
        <v>66734.5</v>
      </c>
      <c r="G151" s="1">
        <f t="shared" si="43"/>
        <v>69403.900000000009</v>
      </c>
    </row>
    <row r="152" spans="1:7" outlineLevel="2" x14ac:dyDescent="0.25">
      <c r="A152" s="33" t="s">
        <v>144</v>
      </c>
      <c r="B152" s="30" t="s">
        <v>292</v>
      </c>
      <c r="C152" s="30" t="s">
        <v>295</v>
      </c>
      <c r="D152" s="24"/>
      <c r="E152" s="19">
        <f>E153</f>
        <v>150244.5</v>
      </c>
      <c r="F152" s="19">
        <f t="shared" si="43"/>
        <v>66734.5</v>
      </c>
      <c r="G152" s="19">
        <f t="shared" si="43"/>
        <v>69403.900000000009</v>
      </c>
    </row>
    <row r="153" spans="1:7" ht="78.75" outlineLevel="2" x14ac:dyDescent="0.25">
      <c r="A153" s="41" t="s">
        <v>493</v>
      </c>
      <c r="B153" s="23" t="s">
        <v>292</v>
      </c>
      <c r="C153" s="23" t="s">
        <v>296</v>
      </c>
      <c r="D153" s="24"/>
      <c r="E153" s="19">
        <f>E154+E156+E158+E160</f>
        <v>150244.5</v>
      </c>
      <c r="F153" s="19">
        <f t="shared" ref="F153:G153" si="44">F154+F156+F158+F160</f>
        <v>66734.5</v>
      </c>
      <c r="G153" s="19">
        <f t="shared" si="44"/>
        <v>69403.900000000009</v>
      </c>
    </row>
    <row r="154" spans="1:7" ht="78.75" outlineLevel="2" x14ac:dyDescent="0.25">
      <c r="A154" s="35" t="s">
        <v>297</v>
      </c>
      <c r="B154" s="23" t="s">
        <v>292</v>
      </c>
      <c r="C154" s="23" t="s">
        <v>298</v>
      </c>
      <c r="D154" s="24"/>
      <c r="E154" s="1">
        <f>E155</f>
        <v>0.1</v>
      </c>
      <c r="F154" s="1">
        <f t="shared" ref="F154:G154" si="45">F155</f>
        <v>0.1</v>
      </c>
      <c r="G154" s="1">
        <f t="shared" si="45"/>
        <v>0.1</v>
      </c>
    </row>
    <row r="155" spans="1:7" ht="31.5" outlineLevel="2" x14ac:dyDescent="0.25">
      <c r="A155" s="35" t="s">
        <v>76</v>
      </c>
      <c r="B155" s="23" t="s">
        <v>292</v>
      </c>
      <c r="C155" s="23" t="s">
        <v>298</v>
      </c>
      <c r="D155" s="24">
        <v>200</v>
      </c>
      <c r="E155" s="19">
        <v>0.1</v>
      </c>
      <c r="F155" s="19">
        <v>0.1</v>
      </c>
      <c r="G155" s="19">
        <v>0.1</v>
      </c>
    </row>
    <row r="156" spans="1:7" ht="63" outlineLevel="2" x14ac:dyDescent="0.25">
      <c r="A156" s="41" t="s">
        <v>299</v>
      </c>
      <c r="B156" s="23" t="s">
        <v>292</v>
      </c>
      <c r="C156" s="23" t="s">
        <v>300</v>
      </c>
      <c r="D156" s="24"/>
      <c r="E156" s="19">
        <f>E157</f>
        <v>91442.700000000012</v>
      </c>
      <c r="F156" s="19">
        <f t="shared" ref="F156:G156" si="46">F157</f>
        <v>66042.399999999994</v>
      </c>
      <c r="G156" s="19">
        <f t="shared" si="46"/>
        <v>68684.100000000006</v>
      </c>
    </row>
    <row r="157" spans="1:7" outlineLevel="2" x14ac:dyDescent="0.25">
      <c r="A157" s="42" t="s">
        <v>33</v>
      </c>
      <c r="B157" s="23" t="s">
        <v>292</v>
      </c>
      <c r="C157" s="23" t="s">
        <v>300</v>
      </c>
      <c r="D157" s="24">
        <v>800</v>
      </c>
      <c r="E157" s="1">
        <f>63502.3+27940.4</f>
        <v>91442.700000000012</v>
      </c>
      <c r="F157" s="1">
        <v>66042.399999999994</v>
      </c>
      <c r="G157" s="1">
        <v>68684.100000000006</v>
      </c>
    </row>
    <row r="158" spans="1:7" ht="126" outlineLevel="2" x14ac:dyDescent="0.25">
      <c r="A158" s="42" t="s">
        <v>301</v>
      </c>
      <c r="B158" s="23" t="s">
        <v>292</v>
      </c>
      <c r="C158" s="23" t="s">
        <v>302</v>
      </c>
      <c r="D158" s="24"/>
      <c r="E158" s="19">
        <f>E159</f>
        <v>701.69999999999993</v>
      </c>
      <c r="F158" s="19">
        <f t="shared" ref="F158:G158" si="47">F159</f>
        <v>692</v>
      </c>
      <c r="G158" s="19">
        <f t="shared" si="47"/>
        <v>719.7</v>
      </c>
    </row>
    <row r="159" spans="1:7" outlineLevel="2" x14ac:dyDescent="0.25">
      <c r="A159" s="42" t="s">
        <v>33</v>
      </c>
      <c r="B159" s="23" t="s">
        <v>292</v>
      </c>
      <c r="C159" s="23" t="s">
        <v>302</v>
      </c>
      <c r="D159" s="24">
        <v>800</v>
      </c>
      <c r="E159" s="19">
        <f>665.4+36.3</f>
        <v>701.69999999999993</v>
      </c>
      <c r="F159" s="19">
        <v>692</v>
      </c>
      <c r="G159" s="19">
        <v>719.7</v>
      </c>
    </row>
    <row r="160" spans="1:7" ht="110.25" outlineLevel="2" x14ac:dyDescent="0.25">
      <c r="A160" s="31" t="s">
        <v>605</v>
      </c>
      <c r="B160" s="18" t="s">
        <v>292</v>
      </c>
      <c r="C160" s="18" t="s">
        <v>606</v>
      </c>
      <c r="D160" s="18"/>
      <c r="E160" s="1">
        <f>E161</f>
        <v>58100</v>
      </c>
      <c r="F160" s="1">
        <f t="shared" ref="F160:G160" si="48">F161</f>
        <v>0</v>
      </c>
      <c r="G160" s="1">
        <f t="shared" si="48"/>
        <v>0</v>
      </c>
    </row>
    <row r="161" spans="1:7" outlineLevel="2" x14ac:dyDescent="0.25">
      <c r="A161" s="31" t="s">
        <v>33</v>
      </c>
      <c r="B161" s="18" t="s">
        <v>292</v>
      </c>
      <c r="C161" s="18" t="s">
        <v>606</v>
      </c>
      <c r="D161" s="18">
        <v>800</v>
      </c>
      <c r="E161" s="19">
        <v>58100</v>
      </c>
      <c r="F161" s="19">
        <v>0</v>
      </c>
      <c r="G161" s="19">
        <v>0</v>
      </c>
    </row>
    <row r="162" spans="1:7" outlineLevel="1" x14ac:dyDescent="0.25">
      <c r="A162" s="41" t="s">
        <v>303</v>
      </c>
      <c r="B162" s="23" t="s">
        <v>304</v>
      </c>
      <c r="C162" s="23"/>
      <c r="D162" s="24"/>
      <c r="E162" s="19">
        <f>E163</f>
        <v>1581885.1999999997</v>
      </c>
      <c r="F162" s="19">
        <f t="shared" ref="F162:G162" si="49">F163</f>
        <v>1270009.4000000001</v>
      </c>
      <c r="G162" s="19">
        <f t="shared" si="49"/>
        <v>460736.19999999995</v>
      </c>
    </row>
    <row r="163" spans="1:7" ht="31.5" outlineLevel="2" x14ac:dyDescent="0.25">
      <c r="A163" s="41" t="s">
        <v>293</v>
      </c>
      <c r="B163" s="23" t="s">
        <v>304</v>
      </c>
      <c r="C163" s="23" t="s">
        <v>294</v>
      </c>
      <c r="D163" s="24"/>
      <c r="E163" s="1">
        <f>E164+E210+E237</f>
        <v>1581885.1999999997</v>
      </c>
      <c r="F163" s="1">
        <f>F164+F210+F237</f>
        <v>1270009.4000000001</v>
      </c>
      <c r="G163" s="1">
        <f>G164+G210+G237</f>
        <v>460736.19999999995</v>
      </c>
    </row>
    <row r="164" spans="1:7" outlineLevel="2" x14ac:dyDescent="0.25">
      <c r="A164" s="41" t="s">
        <v>228</v>
      </c>
      <c r="B164" s="23" t="s">
        <v>304</v>
      </c>
      <c r="C164" s="23" t="s">
        <v>305</v>
      </c>
      <c r="D164" s="24"/>
      <c r="E164" s="19">
        <f>+E165</f>
        <v>888649.99999999988</v>
      </c>
      <c r="F164" s="19">
        <f t="shared" ref="F164:G164" si="50">+F165</f>
        <v>773497.30000000016</v>
      </c>
      <c r="G164" s="19">
        <f t="shared" si="50"/>
        <v>0</v>
      </c>
    </row>
    <row r="165" spans="1:7" ht="31.5" outlineLevel="2" x14ac:dyDescent="0.25">
      <c r="A165" s="39" t="s">
        <v>575</v>
      </c>
      <c r="B165" s="18" t="s">
        <v>304</v>
      </c>
      <c r="C165" s="18" t="s">
        <v>577</v>
      </c>
      <c r="D165" s="18"/>
      <c r="E165" s="19">
        <f>+E166+E168+E170+E172+E174+E176+E178+E180+E182+E188+E184+E186+E190+E192+E194+E196+E198+E200+E202+E204+E206+E208</f>
        <v>888649.99999999988</v>
      </c>
      <c r="F165" s="19">
        <f t="shared" ref="F165:G165" si="51">+F166+F168+F170+F172+F174+F176+F178+F180+F182+F188+F184+F186+F190+F192+F194+F196+F198+F200+F202+F204+F206+F208</f>
        <v>773497.30000000016</v>
      </c>
      <c r="G165" s="19">
        <f t="shared" si="51"/>
        <v>0</v>
      </c>
    </row>
    <row r="166" spans="1:7" ht="47.25" outlineLevel="2" x14ac:dyDescent="0.25">
      <c r="A166" s="39" t="s">
        <v>576</v>
      </c>
      <c r="B166" s="18" t="s">
        <v>304</v>
      </c>
      <c r="C166" s="18" t="s">
        <v>641</v>
      </c>
      <c r="D166" s="18"/>
      <c r="E166" s="1">
        <f>E167</f>
        <v>174800</v>
      </c>
      <c r="F166" s="1">
        <f t="shared" ref="F166:G166" si="52">F167</f>
        <v>260000</v>
      </c>
      <c r="G166" s="1">
        <f t="shared" si="52"/>
        <v>0</v>
      </c>
    </row>
    <row r="167" spans="1:7" ht="31.5" outlineLevel="2" x14ac:dyDescent="0.25">
      <c r="A167" s="17" t="s">
        <v>76</v>
      </c>
      <c r="B167" s="18" t="s">
        <v>304</v>
      </c>
      <c r="C167" s="18" t="s">
        <v>641</v>
      </c>
      <c r="D167" s="18" t="s">
        <v>39</v>
      </c>
      <c r="E167" s="19">
        <f>700000-525200</f>
        <v>174800</v>
      </c>
      <c r="F167" s="19">
        <f>500000-240000</f>
        <v>260000</v>
      </c>
      <c r="G167" s="19">
        <v>0</v>
      </c>
    </row>
    <row r="168" spans="1:7" ht="78.75" outlineLevel="2" x14ac:dyDescent="0.25">
      <c r="A168" s="81" t="s">
        <v>661</v>
      </c>
      <c r="B168" s="76" t="s">
        <v>304</v>
      </c>
      <c r="C168" s="82" t="s">
        <v>662</v>
      </c>
      <c r="D168" s="76"/>
      <c r="E168" s="19">
        <f>+E169</f>
        <v>31678.799999999999</v>
      </c>
      <c r="F168" s="19">
        <f t="shared" ref="F168:G168" si="53">+F169</f>
        <v>0</v>
      </c>
      <c r="G168" s="19">
        <f t="shared" si="53"/>
        <v>0</v>
      </c>
    </row>
    <row r="169" spans="1:7" ht="31.5" outlineLevel="2" x14ac:dyDescent="0.25">
      <c r="A169" s="75" t="s">
        <v>76</v>
      </c>
      <c r="B169" s="76" t="s">
        <v>304</v>
      </c>
      <c r="C169" s="82" t="s">
        <v>662</v>
      </c>
      <c r="D169" s="76" t="s">
        <v>39</v>
      </c>
      <c r="E169" s="1">
        <v>31678.799999999999</v>
      </c>
      <c r="F169" s="1">
        <v>0</v>
      </c>
      <c r="G169" s="1">
        <v>0</v>
      </c>
    </row>
    <row r="170" spans="1:7" ht="78.75" outlineLevel="2" x14ac:dyDescent="0.25">
      <c r="A170" s="81" t="s">
        <v>663</v>
      </c>
      <c r="B170" s="76" t="s">
        <v>304</v>
      </c>
      <c r="C170" s="82" t="s">
        <v>666</v>
      </c>
      <c r="D170" s="76"/>
      <c r="E170" s="19">
        <f t="shared" ref="E170:G170" si="54">E171</f>
        <v>49849.2</v>
      </c>
      <c r="F170" s="19">
        <f t="shared" si="54"/>
        <v>0</v>
      </c>
      <c r="G170" s="19">
        <f t="shared" si="54"/>
        <v>0</v>
      </c>
    </row>
    <row r="171" spans="1:7" ht="31.5" outlineLevel="2" x14ac:dyDescent="0.25">
      <c r="A171" s="75" t="s">
        <v>76</v>
      </c>
      <c r="B171" s="76" t="s">
        <v>304</v>
      </c>
      <c r="C171" s="82" t="s">
        <v>666</v>
      </c>
      <c r="D171" s="76" t="s">
        <v>39</v>
      </c>
      <c r="E171" s="19">
        <v>49849.2</v>
      </c>
      <c r="F171" s="19">
        <v>0</v>
      </c>
      <c r="G171" s="19">
        <v>0</v>
      </c>
    </row>
    <row r="172" spans="1:7" ht="78.75" outlineLevel="2" x14ac:dyDescent="0.25">
      <c r="A172" s="81" t="s">
        <v>664</v>
      </c>
      <c r="B172" s="76" t="s">
        <v>304</v>
      </c>
      <c r="C172" s="82" t="s">
        <v>667</v>
      </c>
      <c r="D172" s="76"/>
      <c r="E172" s="1">
        <f t="shared" ref="E172:G172" si="55">E173</f>
        <v>73740.399999999994</v>
      </c>
      <c r="F172" s="1">
        <f t="shared" si="55"/>
        <v>0</v>
      </c>
      <c r="G172" s="1">
        <f t="shared" si="55"/>
        <v>0</v>
      </c>
    </row>
    <row r="173" spans="1:7" ht="31.5" outlineLevel="2" x14ac:dyDescent="0.25">
      <c r="A173" s="75" t="s">
        <v>76</v>
      </c>
      <c r="B173" s="76" t="s">
        <v>304</v>
      </c>
      <c r="C173" s="82" t="s">
        <v>667</v>
      </c>
      <c r="D173" s="76" t="s">
        <v>39</v>
      </c>
      <c r="E173" s="19">
        <v>73740.399999999994</v>
      </c>
      <c r="F173" s="19">
        <v>0</v>
      </c>
      <c r="G173" s="19">
        <v>0</v>
      </c>
    </row>
    <row r="174" spans="1:7" ht="78.75" outlineLevel="2" x14ac:dyDescent="0.25">
      <c r="A174" s="81" t="s">
        <v>665</v>
      </c>
      <c r="B174" s="76" t="s">
        <v>304</v>
      </c>
      <c r="C174" s="82" t="s">
        <v>668</v>
      </c>
      <c r="D174" s="76"/>
      <c r="E174" s="19">
        <f t="shared" ref="E174:G174" si="56">E175</f>
        <v>55666.400000000001</v>
      </c>
      <c r="F174" s="19">
        <f t="shared" si="56"/>
        <v>0</v>
      </c>
      <c r="G174" s="19">
        <f t="shared" si="56"/>
        <v>0</v>
      </c>
    </row>
    <row r="175" spans="1:7" ht="31.5" outlineLevel="2" x14ac:dyDescent="0.25">
      <c r="A175" s="75" t="s">
        <v>76</v>
      </c>
      <c r="B175" s="76" t="s">
        <v>304</v>
      </c>
      <c r="C175" s="82" t="s">
        <v>668</v>
      </c>
      <c r="D175" s="76" t="s">
        <v>39</v>
      </c>
      <c r="E175" s="1">
        <v>55666.400000000001</v>
      </c>
      <c r="F175" s="1">
        <v>0</v>
      </c>
      <c r="G175" s="1">
        <v>0</v>
      </c>
    </row>
    <row r="176" spans="1:7" ht="78.75" outlineLevel="2" x14ac:dyDescent="0.25">
      <c r="A176" s="81" t="s">
        <v>669</v>
      </c>
      <c r="B176" s="76" t="s">
        <v>304</v>
      </c>
      <c r="C176" s="82" t="s">
        <v>672</v>
      </c>
      <c r="D176" s="76"/>
      <c r="E176" s="19">
        <f t="shared" ref="E176:G176" si="57">E177</f>
        <v>24380.6</v>
      </c>
      <c r="F176" s="19">
        <f t="shared" si="57"/>
        <v>0</v>
      </c>
      <c r="G176" s="19">
        <f t="shared" si="57"/>
        <v>0</v>
      </c>
    </row>
    <row r="177" spans="1:7" ht="31.5" outlineLevel="2" x14ac:dyDescent="0.25">
      <c r="A177" s="75" t="s">
        <v>76</v>
      </c>
      <c r="B177" s="76" t="s">
        <v>304</v>
      </c>
      <c r="C177" s="82" t="s">
        <v>672</v>
      </c>
      <c r="D177" s="76" t="s">
        <v>39</v>
      </c>
      <c r="E177" s="19">
        <v>24380.6</v>
      </c>
      <c r="F177" s="19">
        <v>0</v>
      </c>
      <c r="G177" s="19">
        <v>0</v>
      </c>
    </row>
    <row r="178" spans="1:7" ht="78.75" outlineLevel="2" x14ac:dyDescent="0.25">
      <c r="A178" s="81" t="s">
        <v>670</v>
      </c>
      <c r="B178" s="76" t="s">
        <v>304</v>
      </c>
      <c r="C178" s="82" t="s">
        <v>673</v>
      </c>
      <c r="D178" s="76"/>
      <c r="E178" s="1">
        <f t="shared" ref="E178:G178" si="58">E179</f>
        <v>20927.5</v>
      </c>
      <c r="F178" s="1">
        <f t="shared" si="58"/>
        <v>0</v>
      </c>
      <c r="G178" s="1">
        <f t="shared" si="58"/>
        <v>0</v>
      </c>
    </row>
    <row r="179" spans="1:7" ht="31.5" outlineLevel="2" x14ac:dyDescent="0.25">
      <c r="A179" s="75" t="s">
        <v>76</v>
      </c>
      <c r="B179" s="76" t="s">
        <v>304</v>
      </c>
      <c r="C179" s="82" t="s">
        <v>673</v>
      </c>
      <c r="D179" s="76" t="s">
        <v>39</v>
      </c>
      <c r="E179" s="19">
        <v>20927.5</v>
      </c>
      <c r="F179" s="19">
        <v>0</v>
      </c>
      <c r="G179" s="19">
        <v>0</v>
      </c>
    </row>
    <row r="180" spans="1:7" ht="78.75" outlineLevel="2" x14ac:dyDescent="0.25">
      <c r="A180" s="81" t="s">
        <v>671</v>
      </c>
      <c r="B180" s="76" t="s">
        <v>304</v>
      </c>
      <c r="C180" s="82" t="s">
        <v>674</v>
      </c>
      <c r="D180" s="76"/>
      <c r="E180" s="19">
        <f t="shared" ref="E180:G180" si="59">E181</f>
        <v>42075.1</v>
      </c>
      <c r="F180" s="19">
        <f t="shared" si="59"/>
        <v>0</v>
      </c>
      <c r="G180" s="19">
        <f t="shared" si="59"/>
        <v>0</v>
      </c>
    </row>
    <row r="181" spans="1:7" ht="31.5" outlineLevel="2" x14ac:dyDescent="0.25">
      <c r="A181" s="75" t="s">
        <v>76</v>
      </c>
      <c r="B181" s="76" t="s">
        <v>304</v>
      </c>
      <c r="C181" s="82" t="s">
        <v>674</v>
      </c>
      <c r="D181" s="76" t="s">
        <v>39</v>
      </c>
      <c r="E181" s="1">
        <v>42075.1</v>
      </c>
      <c r="F181" s="1">
        <v>0</v>
      </c>
      <c r="G181" s="1">
        <v>0</v>
      </c>
    </row>
    <row r="182" spans="1:7" ht="78.75" outlineLevel="2" x14ac:dyDescent="0.25">
      <c r="A182" s="81" t="s">
        <v>675</v>
      </c>
      <c r="B182" s="76" t="s">
        <v>304</v>
      </c>
      <c r="C182" s="82" t="s">
        <v>677</v>
      </c>
      <c r="D182" s="76"/>
      <c r="E182" s="19">
        <f t="shared" ref="E182:G182" si="60">E183</f>
        <v>56260.7</v>
      </c>
      <c r="F182" s="19">
        <f t="shared" si="60"/>
        <v>0</v>
      </c>
      <c r="G182" s="19">
        <f t="shared" si="60"/>
        <v>0</v>
      </c>
    </row>
    <row r="183" spans="1:7" ht="31.5" outlineLevel="2" x14ac:dyDescent="0.25">
      <c r="A183" s="75" t="s">
        <v>76</v>
      </c>
      <c r="B183" s="76" t="s">
        <v>304</v>
      </c>
      <c r="C183" s="82" t="s">
        <v>677</v>
      </c>
      <c r="D183" s="76" t="s">
        <v>39</v>
      </c>
      <c r="E183" s="19">
        <v>56260.7</v>
      </c>
      <c r="F183" s="19">
        <v>0</v>
      </c>
      <c r="G183" s="19">
        <v>0</v>
      </c>
    </row>
    <row r="184" spans="1:7" ht="78.75" outlineLevel="2" x14ac:dyDescent="0.25">
      <c r="A184" s="81" t="s">
        <v>676</v>
      </c>
      <c r="B184" s="76" t="s">
        <v>304</v>
      </c>
      <c r="C184" s="82" t="s">
        <v>678</v>
      </c>
      <c r="D184" s="76"/>
      <c r="E184" s="1">
        <f t="shared" ref="E184:G184" si="61">E185</f>
        <v>45758.7</v>
      </c>
      <c r="F184" s="1">
        <f t="shared" si="61"/>
        <v>0</v>
      </c>
      <c r="G184" s="1">
        <f t="shared" si="61"/>
        <v>0</v>
      </c>
    </row>
    <row r="185" spans="1:7" ht="31.5" outlineLevel="2" x14ac:dyDescent="0.25">
      <c r="A185" s="75" t="s">
        <v>76</v>
      </c>
      <c r="B185" s="76" t="s">
        <v>304</v>
      </c>
      <c r="C185" s="82" t="s">
        <v>678</v>
      </c>
      <c r="D185" s="76" t="s">
        <v>39</v>
      </c>
      <c r="E185" s="19">
        <v>45758.7</v>
      </c>
      <c r="F185" s="19">
        <v>0</v>
      </c>
      <c r="G185" s="19">
        <v>0</v>
      </c>
    </row>
    <row r="186" spans="1:7" ht="78.75" outlineLevel="2" x14ac:dyDescent="0.25">
      <c r="A186" s="81" t="s">
        <v>679</v>
      </c>
      <c r="B186" s="76" t="s">
        <v>304</v>
      </c>
      <c r="C186" s="82" t="s">
        <v>683</v>
      </c>
      <c r="D186" s="76"/>
      <c r="E186" s="19">
        <f t="shared" ref="E186:G186" si="62">E187</f>
        <v>45800.6</v>
      </c>
      <c r="F186" s="19">
        <f t="shared" si="62"/>
        <v>0</v>
      </c>
      <c r="G186" s="19">
        <f t="shared" si="62"/>
        <v>0</v>
      </c>
    </row>
    <row r="187" spans="1:7" ht="31.5" outlineLevel="2" x14ac:dyDescent="0.25">
      <c r="A187" s="75" t="s">
        <v>76</v>
      </c>
      <c r="B187" s="76" t="s">
        <v>304</v>
      </c>
      <c r="C187" s="82" t="s">
        <v>683</v>
      </c>
      <c r="D187" s="76" t="s">
        <v>39</v>
      </c>
      <c r="E187" s="1">
        <v>45800.6</v>
      </c>
      <c r="F187" s="1">
        <v>0</v>
      </c>
      <c r="G187" s="1">
        <v>0</v>
      </c>
    </row>
    <row r="188" spans="1:7" ht="78.75" outlineLevel="2" x14ac:dyDescent="0.25">
      <c r="A188" s="81" t="s">
        <v>680</v>
      </c>
      <c r="B188" s="76" t="s">
        <v>304</v>
      </c>
      <c r="C188" s="82" t="s">
        <v>684</v>
      </c>
      <c r="D188" s="76"/>
      <c r="E188" s="19">
        <f t="shared" ref="E188:G188" si="63">E189</f>
        <v>44077.7</v>
      </c>
      <c r="F188" s="19">
        <f t="shared" si="63"/>
        <v>0</v>
      </c>
      <c r="G188" s="19">
        <f t="shared" si="63"/>
        <v>0</v>
      </c>
    </row>
    <row r="189" spans="1:7" ht="31.5" outlineLevel="2" x14ac:dyDescent="0.25">
      <c r="A189" s="75" t="s">
        <v>76</v>
      </c>
      <c r="B189" s="76" t="s">
        <v>304</v>
      </c>
      <c r="C189" s="82" t="s">
        <v>684</v>
      </c>
      <c r="D189" s="76" t="s">
        <v>39</v>
      </c>
      <c r="E189" s="19">
        <v>44077.7</v>
      </c>
      <c r="F189" s="19">
        <v>0</v>
      </c>
      <c r="G189" s="19">
        <v>0</v>
      </c>
    </row>
    <row r="190" spans="1:7" ht="78.75" outlineLevel="2" x14ac:dyDescent="0.25">
      <c r="A190" s="81" t="s">
        <v>681</v>
      </c>
      <c r="B190" s="76" t="s">
        <v>304</v>
      </c>
      <c r="C190" s="82" t="s">
        <v>685</v>
      </c>
      <c r="D190" s="76"/>
      <c r="E190" s="1">
        <f t="shared" ref="E190:G190" si="64">E191</f>
        <v>107800.8</v>
      </c>
      <c r="F190" s="1">
        <f t="shared" si="64"/>
        <v>4530.8999999999996</v>
      </c>
      <c r="G190" s="1">
        <f t="shared" si="64"/>
        <v>0</v>
      </c>
    </row>
    <row r="191" spans="1:7" ht="31.5" outlineLevel="2" x14ac:dyDescent="0.25">
      <c r="A191" s="75" t="s">
        <v>76</v>
      </c>
      <c r="B191" s="76" t="s">
        <v>304</v>
      </c>
      <c r="C191" s="82" t="s">
        <v>685</v>
      </c>
      <c r="D191" s="76" t="s">
        <v>39</v>
      </c>
      <c r="E191" s="19">
        <v>107800.8</v>
      </c>
      <c r="F191" s="19">
        <v>4530.8999999999996</v>
      </c>
      <c r="G191" s="19">
        <v>0</v>
      </c>
    </row>
    <row r="192" spans="1:7" ht="78.75" outlineLevel="2" x14ac:dyDescent="0.25">
      <c r="A192" s="81" t="s">
        <v>682</v>
      </c>
      <c r="B192" s="76" t="s">
        <v>304</v>
      </c>
      <c r="C192" s="82" t="s">
        <v>686</v>
      </c>
      <c r="D192" s="76"/>
      <c r="E192" s="19">
        <f t="shared" ref="E192:G192" si="65">E193</f>
        <v>101983.5</v>
      </c>
      <c r="F192" s="19">
        <f t="shared" si="65"/>
        <v>0</v>
      </c>
      <c r="G192" s="19">
        <f t="shared" si="65"/>
        <v>0</v>
      </c>
    </row>
    <row r="193" spans="1:7" ht="31.5" outlineLevel="2" x14ac:dyDescent="0.25">
      <c r="A193" s="75" t="s">
        <v>76</v>
      </c>
      <c r="B193" s="76" t="s">
        <v>304</v>
      </c>
      <c r="C193" s="82" t="s">
        <v>686</v>
      </c>
      <c r="D193" s="76" t="s">
        <v>39</v>
      </c>
      <c r="E193" s="1">
        <v>101983.5</v>
      </c>
      <c r="F193" s="1">
        <v>0</v>
      </c>
      <c r="G193" s="1">
        <v>0</v>
      </c>
    </row>
    <row r="194" spans="1:7" ht="78.75" outlineLevel="2" x14ac:dyDescent="0.25">
      <c r="A194" s="81" t="s">
        <v>687</v>
      </c>
      <c r="B194" s="76" t="s">
        <v>304</v>
      </c>
      <c r="C194" s="82" t="s">
        <v>690</v>
      </c>
      <c r="D194" s="76"/>
      <c r="E194" s="19">
        <f t="shared" ref="E194:G194" si="66">E195</f>
        <v>0</v>
      </c>
      <c r="F194" s="19">
        <f t="shared" si="66"/>
        <v>206708.2</v>
      </c>
      <c r="G194" s="19">
        <f t="shared" si="66"/>
        <v>0</v>
      </c>
    </row>
    <row r="195" spans="1:7" ht="31.5" outlineLevel="2" x14ac:dyDescent="0.25">
      <c r="A195" s="75" t="s">
        <v>76</v>
      </c>
      <c r="B195" s="76" t="s">
        <v>304</v>
      </c>
      <c r="C195" s="82" t="s">
        <v>690</v>
      </c>
      <c r="D195" s="76" t="s">
        <v>39</v>
      </c>
      <c r="E195" s="19">
        <v>0</v>
      </c>
      <c r="F195" s="19">
        <v>206708.2</v>
      </c>
      <c r="G195" s="19">
        <v>0</v>
      </c>
    </row>
    <row r="196" spans="1:7" ht="78.75" outlineLevel="2" x14ac:dyDescent="0.25">
      <c r="A196" s="81" t="s">
        <v>688</v>
      </c>
      <c r="B196" s="76" t="s">
        <v>304</v>
      </c>
      <c r="C196" s="82" t="s">
        <v>691</v>
      </c>
      <c r="D196" s="76"/>
      <c r="E196" s="1">
        <f t="shared" ref="E196:G196" si="67">E197</f>
        <v>0</v>
      </c>
      <c r="F196" s="1">
        <f t="shared" si="67"/>
        <v>38761.300000000003</v>
      </c>
      <c r="G196" s="1">
        <f t="shared" si="67"/>
        <v>0</v>
      </c>
    </row>
    <row r="197" spans="1:7" ht="31.5" outlineLevel="2" x14ac:dyDescent="0.25">
      <c r="A197" s="75" t="s">
        <v>76</v>
      </c>
      <c r="B197" s="76" t="s">
        <v>304</v>
      </c>
      <c r="C197" s="82" t="s">
        <v>691</v>
      </c>
      <c r="D197" s="76" t="s">
        <v>39</v>
      </c>
      <c r="E197" s="19">
        <v>0</v>
      </c>
      <c r="F197" s="19">
        <v>38761.300000000003</v>
      </c>
      <c r="G197" s="19">
        <v>0</v>
      </c>
    </row>
    <row r="198" spans="1:7" ht="78.75" outlineLevel="2" x14ac:dyDescent="0.25">
      <c r="A198" s="81" t="s">
        <v>689</v>
      </c>
      <c r="B198" s="76" t="s">
        <v>304</v>
      </c>
      <c r="C198" s="82" t="s">
        <v>692</v>
      </c>
      <c r="D198" s="76"/>
      <c r="E198" s="19">
        <f t="shared" ref="E198:G198" si="68">E199</f>
        <v>0</v>
      </c>
      <c r="F198" s="19">
        <f t="shared" si="68"/>
        <v>63491.4</v>
      </c>
      <c r="G198" s="19">
        <f t="shared" si="68"/>
        <v>0</v>
      </c>
    </row>
    <row r="199" spans="1:7" ht="31.5" outlineLevel="2" x14ac:dyDescent="0.25">
      <c r="A199" s="75" t="s">
        <v>76</v>
      </c>
      <c r="B199" s="76" t="s">
        <v>304</v>
      </c>
      <c r="C199" s="82" t="s">
        <v>692</v>
      </c>
      <c r="D199" s="76" t="s">
        <v>39</v>
      </c>
      <c r="E199" s="1">
        <v>0</v>
      </c>
      <c r="F199" s="1">
        <v>63491.4</v>
      </c>
      <c r="G199" s="1">
        <v>0</v>
      </c>
    </row>
    <row r="200" spans="1:7" ht="78.75" outlineLevel="2" x14ac:dyDescent="0.25">
      <c r="A200" s="81" t="s">
        <v>693</v>
      </c>
      <c r="B200" s="76" t="s">
        <v>304</v>
      </c>
      <c r="C200" s="82" t="s">
        <v>696</v>
      </c>
      <c r="D200" s="76"/>
      <c r="E200" s="19">
        <f t="shared" ref="E200:G200" si="69">E201</f>
        <v>0</v>
      </c>
      <c r="F200" s="19">
        <f t="shared" si="69"/>
        <v>51556.9</v>
      </c>
      <c r="G200" s="19">
        <f t="shared" si="69"/>
        <v>0</v>
      </c>
    </row>
    <row r="201" spans="1:7" ht="31.5" outlineLevel="2" x14ac:dyDescent="0.25">
      <c r="A201" s="75" t="s">
        <v>76</v>
      </c>
      <c r="B201" s="76" t="s">
        <v>304</v>
      </c>
      <c r="C201" s="82" t="s">
        <v>696</v>
      </c>
      <c r="D201" s="76" t="s">
        <v>39</v>
      </c>
      <c r="E201" s="19">
        <v>0</v>
      </c>
      <c r="F201" s="19">
        <v>51556.9</v>
      </c>
      <c r="G201" s="19">
        <v>0</v>
      </c>
    </row>
    <row r="202" spans="1:7" ht="78.75" outlineLevel="2" x14ac:dyDescent="0.25">
      <c r="A202" s="81" t="s">
        <v>694</v>
      </c>
      <c r="B202" s="76" t="s">
        <v>304</v>
      </c>
      <c r="C202" s="82" t="s">
        <v>697</v>
      </c>
      <c r="D202" s="76"/>
      <c r="E202" s="1">
        <f t="shared" ref="E202:G202" si="70">E203</f>
        <v>0</v>
      </c>
      <c r="F202" s="1">
        <f t="shared" si="70"/>
        <v>39886.5</v>
      </c>
      <c r="G202" s="1">
        <f t="shared" si="70"/>
        <v>0</v>
      </c>
    </row>
    <row r="203" spans="1:7" ht="31.5" outlineLevel="2" x14ac:dyDescent="0.25">
      <c r="A203" s="75" t="s">
        <v>76</v>
      </c>
      <c r="B203" s="76" t="s">
        <v>304</v>
      </c>
      <c r="C203" s="82" t="s">
        <v>697</v>
      </c>
      <c r="D203" s="76" t="s">
        <v>39</v>
      </c>
      <c r="E203" s="19">
        <v>0</v>
      </c>
      <c r="F203" s="19">
        <v>39886.5</v>
      </c>
      <c r="G203" s="19">
        <v>0</v>
      </c>
    </row>
    <row r="204" spans="1:7" ht="78.75" outlineLevel="2" x14ac:dyDescent="0.25">
      <c r="A204" s="81" t="s">
        <v>695</v>
      </c>
      <c r="B204" s="76" t="s">
        <v>304</v>
      </c>
      <c r="C204" s="82" t="s">
        <v>698</v>
      </c>
      <c r="D204" s="76"/>
      <c r="E204" s="19">
        <f t="shared" ref="E204:G204" si="71">E205</f>
        <v>0</v>
      </c>
      <c r="F204" s="19">
        <f t="shared" si="71"/>
        <v>37139.800000000003</v>
      </c>
      <c r="G204" s="19">
        <f t="shared" si="71"/>
        <v>0</v>
      </c>
    </row>
    <row r="205" spans="1:7" ht="31.5" outlineLevel="2" x14ac:dyDescent="0.25">
      <c r="A205" s="75" t="s">
        <v>76</v>
      </c>
      <c r="B205" s="76" t="s">
        <v>304</v>
      </c>
      <c r="C205" s="82" t="s">
        <v>698</v>
      </c>
      <c r="D205" s="76" t="s">
        <v>39</v>
      </c>
      <c r="E205" s="1">
        <v>0</v>
      </c>
      <c r="F205" s="1">
        <v>37139.800000000003</v>
      </c>
      <c r="G205" s="1">
        <v>0</v>
      </c>
    </row>
    <row r="206" spans="1:7" ht="78.75" outlineLevel="2" x14ac:dyDescent="0.25">
      <c r="A206" s="81" t="s">
        <v>699</v>
      </c>
      <c r="B206" s="76" t="s">
        <v>304</v>
      </c>
      <c r="C206" s="82" t="s">
        <v>700</v>
      </c>
      <c r="D206" s="76"/>
      <c r="E206" s="19">
        <f>+E207</f>
        <v>0</v>
      </c>
      <c r="F206" s="19">
        <f t="shared" ref="F206:G206" si="72">+F207</f>
        <v>57925</v>
      </c>
      <c r="G206" s="19">
        <f t="shared" si="72"/>
        <v>0</v>
      </c>
    </row>
    <row r="207" spans="1:7" ht="31.5" outlineLevel="2" x14ac:dyDescent="0.25">
      <c r="A207" s="75" t="s">
        <v>76</v>
      </c>
      <c r="B207" s="76" t="s">
        <v>304</v>
      </c>
      <c r="C207" s="82" t="s">
        <v>700</v>
      </c>
      <c r="D207" s="76" t="s">
        <v>39</v>
      </c>
      <c r="E207" s="19">
        <v>0</v>
      </c>
      <c r="F207" s="19">
        <v>57925</v>
      </c>
      <c r="G207" s="19">
        <v>0</v>
      </c>
    </row>
    <row r="208" spans="1:7" ht="63" outlineLevel="2" x14ac:dyDescent="0.25">
      <c r="A208" s="83" t="s">
        <v>640</v>
      </c>
      <c r="B208" s="76" t="s">
        <v>304</v>
      </c>
      <c r="C208" s="76" t="s">
        <v>578</v>
      </c>
      <c r="D208" s="76"/>
      <c r="E208" s="1">
        <f>E209</f>
        <v>13850</v>
      </c>
      <c r="F208" s="1">
        <f t="shared" ref="F208:G208" si="73">F209</f>
        <v>13497.3</v>
      </c>
      <c r="G208" s="1">
        <f t="shared" si="73"/>
        <v>0</v>
      </c>
    </row>
    <row r="209" spans="1:7" ht="31.5" outlineLevel="2" x14ac:dyDescent="0.25">
      <c r="A209" s="75" t="s">
        <v>76</v>
      </c>
      <c r="B209" s="76" t="s">
        <v>304</v>
      </c>
      <c r="C209" s="76" t="s">
        <v>578</v>
      </c>
      <c r="D209" s="76" t="s">
        <v>39</v>
      </c>
      <c r="E209" s="19">
        <f>5436.8+8413.2</f>
        <v>13850</v>
      </c>
      <c r="F209" s="19">
        <f>5371.6+8125.7</f>
        <v>13497.3</v>
      </c>
      <c r="G209" s="19">
        <v>0</v>
      </c>
    </row>
    <row r="210" spans="1:7" ht="31.5" outlineLevel="2" x14ac:dyDescent="0.25">
      <c r="A210" s="39" t="s">
        <v>155</v>
      </c>
      <c r="B210" s="23" t="s">
        <v>304</v>
      </c>
      <c r="C210" s="23" t="s">
        <v>306</v>
      </c>
      <c r="D210" s="24"/>
      <c r="E210" s="19">
        <f>E211</f>
        <v>363067.69999999995</v>
      </c>
      <c r="F210" s="19">
        <f t="shared" ref="F210:G210" si="74">F211</f>
        <v>166344.60000000003</v>
      </c>
      <c r="G210" s="19">
        <f t="shared" si="74"/>
        <v>178252.30000000002</v>
      </c>
    </row>
    <row r="211" spans="1:7" ht="47.25" outlineLevel="2" x14ac:dyDescent="0.25">
      <c r="A211" s="39" t="s">
        <v>307</v>
      </c>
      <c r="B211" s="23" t="s">
        <v>304</v>
      </c>
      <c r="C211" s="23" t="s">
        <v>308</v>
      </c>
      <c r="D211" s="24"/>
      <c r="E211" s="1">
        <f>E212+E214+E228+E230+E233+E235+E220+E216+E225+E222+E218</f>
        <v>363067.69999999995</v>
      </c>
      <c r="F211" s="1">
        <f t="shared" ref="F211:G211" si="75">F212+F214+F228+F230+F233+F235+F220+F216+F225+F222</f>
        <v>166344.60000000003</v>
      </c>
      <c r="G211" s="1">
        <f t="shared" si="75"/>
        <v>178252.30000000002</v>
      </c>
    </row>
    <row r="212" spans="1:7" ht="63" outlineLevel="2" x14ac:dyDescent="0.25">
      <c r="A212" s="31" t="s">
        <v>503</v>
      </c>
      <c r="B212" s="23" t="s">
        <v>304</v>
      </c>
      <c r="C212" s="23" t="s">
        <v>309</v>
      </c>
      <c r="D212" s="24"/>
      <c r="E212" s="19">
        <f>E213</f>
        <v>228.3</v>
      </c>
      <c r="F212" s="19">
        <f t="shared" ref="F212:G212" si="76">F213</f>
        <v>0</v>
      </c>
      <c r="G212" s="19">
        <f t="shared" si="76"/>
        <v>0</v>
      </c>
    </row>
    <row r="213" spans="1:7" ht="47.25" outlineLevel="2" x14ac:dyDescent="0.25">
      <c r="A213" s="42" t="s">
        <v>310</v>
      </c>
      <c r="B213" s="23" t="s">
        <v>304</v>
      </c>
      <c r="C213" s="23" t="s">
        <v>309</v>
      </c>
      <c r="D213" s="24">
        <v>400</v>
      </c>
      <c r="E213" s="19">
        <f>111.7+116.6</f>
        <v>228.3</v>
      </c>
      <c r="F213" s="19">
        <v>0</v>
      </c>
      <c r="G213" s="19">
        <v>0</v>
      </c>
    </row>
    <row r="214" spans="1:7" ht="110.25" outlineLevel="2" x14ac:dyDescent="0.25">
      <c r="A214" s="42" t="s">
        <v>494</v>
      </c>
      <c r="B214" s="23" t="s">
        <v>304</v>
      </c>
      <c r="C214" s="23" t="s">
        <v>311</v>
      </c>
      <c r="D214" s="24"/>
      <c r="E214" s="1">
        <f>E215</f>
        <v>14514.6</v>
      </c>
      <c r="F214" s="1">
        <f t="shared" ref="F214:G214" si="77">F215</f>
        <v>0</v>
      </c>
      <c r="G214" s="1">
        <f t="shared" si="77"/>
        <v>0</v>
      </c>
    </row>
    <row r="215" spans="1:7" ht="47.25" outlineLevel="2" x14ac:dyDescent="0.25">
      <c r="A215" s="42" t="s">
        <v>310</v>
      </c>
      <c r="B215" s="23" t="s">
        <v>304</v>
      </c>
      <c r="C215" s="23" t="s">
        <v>311</v>
      </c>
      <c r="D215" s="24">
        <v>400</v>
      </c>
      <c r="E215" s="19">
        <f>14631.2-116.6</f>
        <v>14514.6</v>
      </c>
      <c r="F215" s="19">
        <v>0</v>
      </c>
      <c r="G215" s="19">
        <v>0</v>
      </c>
    </row>
    <row r="216" spans="1:7" ht="47.25" outlineLevel="2" x14ac:dyDescent="0.25">
      <c r="A216" s="31" t="s">
        <v>517</v>
      </c>
      <c r="B216" s="18" t="s">
        <v>304</v>
      </c>
      <c r="C216" s="18" t="s">
        <v>518</v>
      </c>
      <c r="D216" s="18"/>
      <c r="E216" s="19">
        <f>E217</f>
        <v>593.29999999999995</v>
      </c>
      <c r="F216" s="19">
        <f t="shared" ref="F216:G216" si="78">F217</f>
        <v>0</v>
      </c>
      <c r="G216" s="19">
        <f t="shared" si="78"/>
        <v>0</v>
      </c>
    </row>
    <row r="217" spans="1:7" ht="31.5" outlineLevel="2" x14ac:dyDescent="0.25">
      <c r="A217" s="20" t="s">
        <v>76</v>
      </c>
      <c r="B217" s="18" t="s">
        <v>304</v>
      </c>
      <c r="C217" s="18" t="s">
        <v>518</v>
      </c>
      <c r="D217" s="18" t="s">
        <v>39</v>
      </c>
      <c r="E217" s="1">
        <v>593.29999999999995</v>
      </c>
      <c r="F217" s="1">
        <v>0</v>
      </c>
      <c r="G217" s="1">
        <v>0</v>
      </c>
    </row>
    <row r="218" spans="1:7" ht="119.25" customHeight="1" outlineLevel="2" x14ac:dyDescent="0.25">
      <c r="A218" s="20" t="s">
        <v>659</v>
      </c>
      <c r="B218" s="18" t="s">
        <v>304</v>
      </c>
      <c r="C218" s="102" t="s">
        <v>660</v>
      </c>
      <c r="D218" s="20"/>
      <c r="E218" s="19">
        <f>+E219</f>
        <v>3587.6000000000004</v>
      </c>
      <c r="F218" s="19">
        <f t="shared" ref="F218:G218" si="79">+F219</f>
        <v>0</v>
      </c>
      <c r="G218" s="19">
        <f t="shared" si="79"/>
        <v>0</v>
      </c>
    </row>
    <row r="219" spans="1:7" ht="42.75" customHeight="1" outlineLevel="2" x14ac:dyDescent="0.25">
      <c r="A219" s="20" t="s">
        <v>310</v>
      </c>
      <c r="B219" s="18" t="s">
        <v>304</v>
      </c>
      <c r="C219" s="102" t="s">
        <v>660</v>
      </c>
      <c r="D219" s="20">
        <v>400</v>
      </c>
      <c r="E219" s="19">
        <f>1565.4+2022.2</f>
        <v>3587.6000000000004</v>
      </c>
      <c r="F219" s="19">
        <v>0</v>
      </c>
      <c r="G219" s="19">
        <v>0</v>
      </c>
    </row>
    <row r="220" spans="1:7" ht="78.75" outlineLevel="2" x14ac:dyDescent="0.25">
      <c r="A220" s="43" t="s">
        <v>473</v>
      </c>
      <c r="B220" s="23" t="s">
        <v>304</v>
      </c>
      <c r="C220" s="23" t="s">
        <v>474</v>
      </c>
      <c r="D220" s="24"/>
      <c r="E220" s="1">
        <f>E221</f>
        <v>1000</v>
      </c>
      <c r="F220" s="1">
        <f>F221</f>
        <v>0</v>
      </c>
      <c r="G220" s="1">
        <f>G221</f>
        <v>0</v>
      </c>
    </row>
    <row r="221" spans="1:7" ht="31.5" outlineLevel="2" x14ac:dyDescent="0.25">
      <c r="A221" s="35" t="s">
        <v>76</v>
      </c>
      <c r="B221" s="23" t="s">
        <v>304</v>
      </c>
      <c r="C221" s="23" t="s">
        <v>474</v>
      </c>
      <c r="D221" s="24">
        <v>200</v>
      </c>
      <c r="E221" s="19">
        <v>1000</v>
      </c>
      <c r="F221" s="19">
        <v>0</v>
      </c>
      <c r="G221" s="19">
        <v>0</v>
      </c>
    </row>
    <row r="222" spans="1:7" ht="63" outlineLevel="2" x14ac:dyDescent="0.25">
      <c r="A222" s="43" t="s">
        <v>530</v>
      </c>
      <c r="B222" s="18" t="s">
        <v>304</v>
      </c>
      <c r="C222" s="18" t="s">
        <v>531</v>
      </c>
      <c r="D222" s="18"/>
      <c r="E222" s="19">
        <f>SUM(E223:E224)</f>
        <v>827</v>
      </c>
      <c r="F222" s="19">
        <f t="shared" ref="F222:G222" si="80">SUM(F223:F224)</f>
        <v>0</v>
      </c>
      <c r="G222" s="19">
        <f t="shared" si="80"/>
        <v>0</v>
      </c>
    </row>
    <row r="223" spans="1:7" ht="47.25" outlineLevel="2" x14ac:dyDescent="0.25">
      <c r="A223" s="8" t="s">
        <v>310</v>
      </c>
      <c r="B223" s="18" t="s">
        <v>304</v>
      </c>
      <c r="C223" s="18" t="s">
        <v>531</v>
      </c>
      <c r="D223" s="18" t="s">
        <v>465</v>
      </c>
      <c r="E223" s="1">
        <v>825</v>
      </c>
      <c r="F223" s="1">
        <v>0</v>
      </c>
      <c r="G223" s="1">
        <v>0</v>
      </c>
    </row>
    <row r="224" spans="1:7" outlineLevel="2" x14ac:dyDescent="0.25">
      <c r="A224" s="29" t="s">
        <v>33</v>
      </c>
      <c r="B224" s="18" t="s">
        <v>304</v>
      </c>
      <c r="C224" s="18" t="s">
        <v>531</v>
      </c>
      <c r="D224" s="18" t="s">
        <v>532</v>
      </c>
      <c r="E224" s="19">
        <v>2</v>
      </c>
      <c r="F224" s="19">
        <v>0</v>
      </c>
      <c r="G224" s="19">
        <v>0</v>
      </c>
    </row>
    <row r="225" spans="1:7" ht="47.25" outlineLevel="2" x14ac:dyDescent="0.25">
      <c r="A225" s="35" t="s">
        <v>527</v>
      </c>
      <c r="B225" s="18" t="s">
        <v>304</v>
      </c>
      <c r="C225" s="18" t="s">
        <v>528</v>
      </c>
      <c r="D225" s="18"/>
      <c r="E225" s="19">
        <f>SUM(E226:E227)</f>
        <v>137314.29999999999</v>
      </c>
      <c r="F225" s="19">
        <f>SUM(F226:F227)</f>
        <v>0</v>
      </c>
      <c r="G225" s="19">
        <f t="shared" ref="G225" si="81">G226</f>
        <v>0</v>
      </c>
    </row>
    <row r="226" spans="1:7" ht="31.5" outlineLevel="2" x14ac:dyDescent="0.25">
      <c r="A226" s="35" t="s">
        <v>76</v>
      </c>
      <c r="B226" s="18" t="s">
        <v>304</v>
      </c>
      <c r="C226" s="18" t="s">
        <v>528</v>
      </c>
      <c r="D226" s="18" t="s">
        <v>39</v>
      </c>
      <c r="E226" s="1">
        <v>37414.300000000003</v>
      </c>
      <c r="F226" s="1">
        <v>0</v>
      </c>
      <c r="G226" s="1">
        <v>0</v>
      </c>
    </row>
    <row r="227" spans="1:7" ht="47.25" outlineLevel="2" x14ac:dyDescent="0.25">
      <c r="A227" s="35" t="s">
        <v>94</v>
      </c>
      <c r="B227" s="18" t="s">
        <v>304</v>
      </c>
      <c r="C227" s="18" t="s">
        <v>528</v>
      </c>
      <c r="D227" s="18" t="s">
        <v>95</v>
      </c>
      <c r="E227" s="19">
        <f>50000+49900</f>
        <v>99900</v>
      </c>
      <c r="F227" s="19">
        <v>0</v>
      </c>
      <c r="G227" s="19">
        <v>0</v>
      </c>
    </row>
    <row r="228" spans="1:7" ht="63" outlineLevel="2" x14ac:dyDescent="0.25">
      <c r="A228" s="42" t="s">
        <v>312</v>
      </c>
      <c r="B228" s="23" t="s">
        <v>304</v>
      </c>
      <c r="C228" s="23" t="s">
        <v>313</v>
      </c>
      <c r="D228" s="24"/>
      <c r="E228" s="19">
        <f>E229</f>
        <v>31490.999999999985</v>
      </c>
      <c r="F228" s="19">
        <f t="shared" ref="F228:G228" si="82">F229</f>
        <v>74522.100000000006</v>
      </c>
      <c r="G228" s="19">
        <f t="shared" si="82"/>
        <v>0</v>
      </c>
    </row>
    <row r="229" spans="1:7" ht="47.25" outlineLevel="2" x14ac:dyDescent="0.25">
      <c r="A229" s="42" t="s">
        <v>310</v>
      </c>
      <c r="B229" s="23" t="s">
        <v>304</v>
      </c>
      <c r="C229" s="23" t="s">
        <v>313</v>
      </c>
      <c r="D229" s="24">
        <v>400</v>
      </c>
      <c r="E229" s="1">
        <f>121441.9-5397.1-84553.8</f>
        <v>31490.999999999985</v>
      </c>
      <c r="F229" s="1">
        <f>4471.3+70050.8</f>
        <v>74522.100000000006</v>
      </c>
      <c r="G229" s="1">
        <v>0</v>
      </c>
    </row>
    <row r="230" spans="1:7" ht="94.5" outlineLevel="2" x14ac:dyDescent="0.25">
      <c r="A230" s="42" t="s">
        <v>314</v>
      </c>
      <c r="B230" s="23" t="s">
        <v>304</v>
      </c>
      <c r="C230" s="23" t="s">
        <v>315</v>
      </c>
      <c r="D230" s="24"/>
      <c r="E230" s="19">
        <f>SUM(E231:E232)</f>
        <v>121493.6</v>
      </c>
      <c r="F230" s="19">
        <f t="shared" ref="F230:G230" si="83">SUM(F231:F232)</f>
        <v>88337.3</v>
      </c>
      <c r="G230" s="19">
        <f t="shared" si="83"/>
        <v>174767.1</v>
      </c>
    </row>
    <row r="231" spans="1:7" ht="31.5" outlineLevel="2" x14ac:dyDescent="0.25">
      <c r="A231" s="35" t="s">
        <v>76</v>
      </c>
      <c r="B231" s="23" t="s">
        <v>304</v>
      </c>
      <c r="C231" s="23" t="s">
        <v>315</v>
      </c>
      <c r="D231" s="24">
        <v>200</v>
      </c>
      <c r="E231" s="19">
        <f>71493.1+341.8+5354.5</f>
        <v>77189.400000000009</v>
      </c>
      <c r="F231" s="19">
        <f>162859.4-4471.3-70050.8</f>
        <v>88337.3</v>
      </c>
      <c r="G231" s="19">
        <f>162859.4+714.5+11193.2</f>
        <v>174767.1</v>
      </c>
    </row>
    <row r="232" spans="1:7" ht="47.25" outlineLevel="2" x14ac:dyDescent="0.25">
      <c r="A232" s="31" t="s">
        <v>310</v>
      </c>
      <c r="B232" s="18" t="s">
        <v>304</v>
      </c>
      <c r="C232" s="18" t="s">
        <v>315</v>
      </c>
      <c r="D232" s="18" t="s">
        <v>465</v>
      </c>
      <c r="E232" s="1">
        <f>300+2358.3+41645.9</f>
        <v>44304.200000000004</v>
      </c>
      <c r="F232" s="1">
        <v>0</v>
      </c>
      <c r="G232" s="1">
        <v>0</v>
      </c>
    </row>
    <row r="233" spans="1:7" ht="126" outlineLevel="2" x14ac:dyDescent="0.25">
      <c r="A233" s="42" t="s">
        <v>316</v>
      </c>
      <c r="B233" s="23" t="s">
        <v>304</v>
      </c>
      <c r="C233" s="23" t="s">
        <v>317</v>
      </c>
      <c r="D233" s="24"/>
      <c r="E233" s="19">
        <f>E234</f>
        <v>47138.700000000004</v>
      </c>
      <c r="F233" s="19">
        <f t="shared" ref="F233:G233" si="84">F234</f>
        <v>0</v>
      </c>
      <c r="G233" s="19">
        <f t="shared" si="84"/>
        <v>0</v>
      </c>
    </row>
    <row r="234" spans="1:7" ht="31.5" outlineLevel="2" x14ac:dyDescent="0.25">
      <c r="A234" s="35" t="s">
        <v>76</v>
      </c>
      <c r="B234" s="23" t="s">
        <v>304</v>
      </c>
      <c r="C234" s="23" t="s">
        <v>317</v>
      </c>
      <c r="D234" s="24">
        <v>200</v>
      </c>
      <c r="E234" s="19">
        <f>2188.3+2697+42253.4</f>
        <v>47138.700000000004</v>
      </c>
      <c r="F234" s="19">
        <v>0</v>
      </c>
      <c r="G234" s="19">
        <v>0</v>
      </c>
    </row>
    <row r="235" spans="1:7" ht="78.75" outlineLevel="2" x14ac:dyDescent="0.25">
      <c r="A235" s="42" t="s">
        <v>318</v>
      </c>
      <c r="B235" s="23" t="s">
        <v>304</v>
      </c>
      <c r="C235" s="23" t="s">
        <v>319</v>
      </c>
      <c r="D235" s="24"/>
      <c r="E235" s="1">
        <f>E236</f>
        <v>4879.3</v>
      </c>
      <c r="F235" s="1">
        <f t="shared" ref="F235:G235" si="85">F236</f>
        <v>3485.2</v>
      </c>
      <c r="G235" s="1">
        <f t="shared" si="85"/>
        <v>3485.2</v>
      </c>
    </row>
    <row r="236" spans="1:7" ht="31.5" outlineLevel="2" x14ac:dyDescent="0.25">
      <c r="A236" s="39" t="s">
        <v>76</v>
      </c>
      <c r="B236" s="23" t="s">
        <v>304</v>
      </c>
      <c r="C236" s="23" t="s">
        <v>319</v>
      </c>
      <c r="D236" s="24">
        <v>200</v>
      </c>
      <c r="E236" s="19">
        <f>1980.9+2898.4</f>
        <v>4879.3</v>
      </c>
      <c r="F236" s="19">
        <v>3485.2</v>
      </c>
      <c r="G236" s="19">
        <v>3485.2</v>
      </c>
    </row>
    <row r="237" spans="1:7" outlineLevel="2" x14ac:dyDescent="0.25">
      <c r="A237" s="33" t="s">
        <v>144</v>
      </c>
      <c r="B237" s="30" t="s">
        <v>304</v>
      </c>
      <c r="C237" s="30" t="s">
        <v>295</v>
      </c>
      <c r="D237" s="24"/>
      <c r="E237" s="19">
        <f>E238</f>
        <v>330167.5</v>
      </c>
      <c r="F237" s="19">
        <f t="shared" ref="F237:G237" si="86">F238</f>
        <v>330167.5</v>
      </c>
      <c r="G237" s="19">
        <f t="shared" si="86"/>
        <v>282483.89999999997</v>
      </c>
    </row>
    <row r="238" spans="1:7" ht="47.25" outlineLevel="2" x14ac:dyDescent="0.25">
      <c r="A238" s="43" t="s">
        <v>475</v>
      </c>
      <c r="B238" s="23" t="s">
        <v>304</v>
      </c>
      <c r="C238" s="23" t="s">
        <v>476</v>
      </c>
      <c r="D238" s="24"/>
      <c r="E238" s="1">
        <f>E239+E241</f>
        <v>330167.5</v>
      </c>
      <c r="F238" s="1">
        <f t="shared" ref="F238:G238" si="87">F239+F241</f>
        <v>330167.5</v>
      </c>
      <c r="G238" s="1">
        <f t="shared" si="87"/>
        <v>282483.89999999997</v>
      </c>
    </row>
    <row r="239" spans="1:7" outlineLevel="2" x14ac:dyDescent="0.25">
      <c r="A239" s="44" t="s">
        <v>477</v>
      </c>
      <c r="B239" s="23" t="s">
        <v>304</v>
      </c>
      <c r="C239" s="23" t="s">
        <v>510</v>
      </c>
      <c r="D239" s="24"/>
      <c r="E239" s="19">
        <f>E240</f>
        <v>273934.3</v>
      </c>
      <c r="F239" s="19">
        <f t="shared" ref="F239:G239" si="88">F240</f>
        <v>273934.3</v>
      </c>
      <c r="G239" s="19">
        <f t="shared" si="88"/>
        <v>226250.69999999998</v>
      </c>
    </row>
    <row r="240" spans="1:7" ht="47.25" outlineLevel="2" x14ac:dyDescent="0.25">
      <c r="A240" s="43" t="s">
        <v>94</v>
      </c>
      <c r="B240" s="23" t="s">
        <v>304</v>
      </c>
      <c r="C240" s="23" t="s">
        <v>510</v>
      </c>
      <c r="D240" s="24">
        <v>600</v>
      </c>
      <c r="E240" s="19">
        <v>273934.3</v>
      </c>
      <c r="F240" s="19">
        <v>273934.3</v>
      </c>
      <c r="G240" s="19">
        <f>273934.3-47683.6</f>
        <v>226250.69999999998</v>
      </c>
    </row>
    <row r="241" spans="1:7" ht="31.5" outlineLevel="2" x14ac:dyDescent="0.25">
      <c r="A241" s="45" t="s">
        <v>478</v>
      </c>
      <c r="B241" s="23" t="s">
        <v>304</v>
      </c>
      <c r="C241" s="23" t="s">
        <v>511</v>
      </c>
      <c r="D241" s="24"/>
      <c r="E241" s="1">
        <f>E242</f>
        <v>56233.2</v>
      </c>
      <c r="F241" s="1">
        <f t="shared" ref="F241:G241" si="89">F242</f>
        <v>56233.2</v>
      </c>
      <c r="G241" s="1">
        <f t="shared" si="89"/>
        <v>56233.2</v>
      </c>
    </row>
    <row r="242" spans="1:7" ht="47.25" outlineLevel="2" x14ac:dyDescent="0.25">
      <c r="A242" s="43" t="s">
        <v>94</v>
      </c>
      <c r="B242" s="23" t="s">
        <v>304</v>
      </c>
      <c r="C242" s="23" t="s">
        <v>511</v>
      </c>
      <c r="D242" s="24">
        <v>600</v>
      </c>
      <c r="E242" s="19">
        <v>56233.2</v>
      </c>
      <c r="F242" s="19">
        <v>56233.2</v>
      </c>
      <c r="G242" s="19">
        <v>56233.2</v>
      </c>
    </row>
    <row r="243" spans="1:7" ht="31.5" outlineLevel="1" x14ac:dyDescent="0.25">
      <c r="A243" s="40" t="s">
        <v>320</v>
      </c>
      <c r="B243" s="23" t="s">
        <v>321</v>
      </c>
      <c r="C243" s="23"/>
      <c r="D243" s="24"/>
      <c r="E243" s="19">
        <f>E244+E255</f>
        <v>50825.8</v>
      </c>
      <c r="F243" s="19">
        <f>F244+F255</f>
        <v>12161.3</v>
      </c>
      <c r="G243" s="19">
        <f>G244+G255</f>
        <v>12183.5</v>
      </c>
    </row>
    <row r="244" spans="1:7" ht="47.25" outlineLevel="2" x14ac:dyDescent="0.25">
      <c r="A244" s="41" t="s">
        <v>322</v>
      </c>
      <c r="B244" s="23" t="s">
        <v>321</v>
      </c>
      <c r="C244" s="23" t="s">
        <v>323</v>
      </c>
      <c r="D244" s="24"/>
      <c r="E244" s="1">
        <f t="shared" ref="E244:G245" si="90">E245</f>
        <v>21844.799999999999</v>
      </c>
      <c r="F244" s="1">
        <f t="shared" si="90"/>
        <v>2329.8000000000002</v>
      </c>
      <c r="G244" s="1">
        <f t="shared" si="90"/>
        <v>2352</v>
      </c>
    </row>
    <row r="245" spans="1:7" ht="31.5" outlineLevel="2" x14ac:dyDescent="0.25">
      <c r="A245" s="33" t="s">
        <v>155</v>
      </c>
      <c r="B245" s="30" t="s">
        <v>321</v>
      </c>
      <c r="C245" s="30" t="s">
        <v>324</v>
      </c>
      <c r="D245" s="24"/>
      <c r="E245" s="19">
        <f t="shared" si="90"/>
        <v>21844.799999999999</v>
      </c>
      <c r="F245" s="19">
        <f t="shared" si="90"/>
        <v>2329.8000000000002</v>
      </c>
      <c r="G245" s="19">
        <f t="shared" si="90"/>
        <v>2352</v>
      </c>
    </row>
    <row r="246" spans="1:7" ht="47.25" outlineLevel="2" x14ac:dyDescent="0.25">
      <c r="A246" s="42" t="s">
        <v>325</v>
      </c>
      <c r="B246" s="23" t="s">
        <v>321</v>
      </c>
      <c r="C246" s="23" t="s">
        <v>326</v>
      </c>
      <c r="D246" s="24"/>
      <c r="E246" s="19">
        <f>E249+E247+E253+E251</f>
        <v>21844.799999999999</v>
      </c>
      <c r="F246" s="19">
        <f>F249+F247+F253</f>
        <v>2329.8000000000002</v>
      </c>
      <c r="G246" s="19">
        <f>G249+G247+G253</f>
        <v>2352</v>
      </c>
    </row>
    <row r="247" spans="1:7" ht="47.25" outlineLevel="2" x14ac:dyDescent="0.25">
      <c r="A247" s="39" t="s">
        <v>327</v>
      </c>
      <c r="B247" s="23" t="s">
        <v>321</v>
      </c>
      <c r="C247" s="23" t="s">
        <v>328</v>
      </c>
      <c r="D247" s="24"/>
      <c r="E247" s="1">
        <f>E248</f>
        <v>48</v>
      </c>
      <c r="F247" s="1">
        <f>F248</f>
        <v>49.9</v>
      </c>
      <c r="G247" s="1">
        <f>G248</f>
        <v>51.9</v>
      </c>
    </row>
    <row r="248" spans="1:7" ht="31.5" outlineLevel="2" x14ac:dyDescent="0.25">
      <c r="A248" s="39" t="s">
        <v>76</v>
      </c>
      <c r="B248" s="23" t="s">
        <v>321</v>
      </c>
      <c r="C248" s="23" t="s">
        <v>328</v>
      </c>
      <c r="D248" s="24">
        <v>200</v>
      </c>
      <c r="E248" s="19">
        <v>48</v>
      </c>
      <c r="F248" s="19">
        <v>49.9</v>
      </c>
      <c r="G248" s="19">
        <v>51.9</v>
      </c>
    </row>
    <row r="249" spans="1:7" ht="63" outlineLevel="2" x14ac:dyDescent="0.25">
      <c r="A249" s="42" t="s">
        <v>329</v>
      </c>
      <c r="B249" s="23" t="s">
        <v>321</v>
      </c>
      <c r="C249" s="23" t="s">
        <v>330</v>
      </c>
      <c r="D249" s="24"/>
      <c r="E249" s="19">
        <f>E250</f>
        <v>475.5</v>
      </c>
      <c r="F249" s="19">
        <f>F250</f>
        <v>449.20000000000005</v>
      </c>
      <c r="G249" s="19">
        <f>G250</f>
        <v>468.79999999999995</v>
      </c>
    </row>
    <row r="250" spans="1:7" ht="31.5" outlineLevel="2" x14ac:dyDescent="0.25">
      <c r="A250" s="39" t="s">
        <v>76</v>
      </c>
      <c r="B250" s="23" t="s">
        <v>321</v>
      </c>
      <c r="C250" s="23" t="s">
        <v>330</v>
      </c>
      <c r="D250" s="24">
        <v>200</v>
      </c>
      <c r="E250" s="1">
        <v>475.5</v>
      </c>
      <c r="F250" s="1">
        <f>494.6-45.4</f>
        <v>449.20000000000005</v>
      </c>
      <c r="G250" s="1">
        <f>514.3-45.5</f>
        <v>468.79999999999995</v>
      </c>
    </row>
    <row r="251" spans="1:7" ht="110.25" outlineLevel="2" x14ac:dyDescent="0.25">
      <c r="A251" s="75" t="s">
        <v>701</v>
      </c>
      <c r="B251" s="76" t="s">
        <v>321</v>
      </c>
      <c r="C251" s="76" t="s">
        <v>702</v>
      </c>
      <c r="D251" s="76"/>
      <c r="E251" s="19">
        <f>+E252</f>
        <v>14000</v>
      </c>
      <c r="F251" s="19">
        <f t="shared" ref="F251:G251" si="91">+F252</f>
        <v>0</v>
      </c>
      <c r="G251" s="19">
        <f t="shared" si="91"/>
        <v>0</v>
      </c>
    </row>
    <row r="252" spans="1:7" outlineLevel="2" x14ac:dyDescent="0.25">
      <c r="A252" s="77" t="s">
        <v>33</v>
      </c>
      <c r="B252" s="76" t="s">
        <v>321</v>
      </c>
      <c r="C252" s="76" t="s">
        <v>702</v>
      </c>
      <c r="D252" s="76" t="s">
        <v>532</v>
      </c>
      <c r="E252" s="19">
        <v>14000</v>
      </c>
      <c r="F252" s="19">
        <v>0</v>
      </c>
      <c r="G252" s="19">
        <v>0</v>
      </c>
    </row>
    <row r="253" spans="1:7" ht="189" outlineLevel="2" x14ac:dyDescent="0.25">
      <c r="A253" s="33" t="s">
        <v>504</v>
      </c>
      <c r="B253" s="23" t="s">
        <v>321</v>
      </c>
      <c r="C253" s="23" t="s">
        <v>331</v>
      </c>
      <c r="D253" s="24"/>
      <c r="E253" s="1">
        <f>E254</f>
        <v>7321.2999999999993</v>
      </c>
      <c r="F253" s="1">
        <f>F254</f>
        <v>1830.7</v>
      </c>
      <c r="G253" s="1">
        <f>G254</f>
        <v>1831.3</v>
      </c>
    </row>
    <row r="254" spans="1:7" outlineLevel="2" x14ac:dyDescent="0.25">
      <c r="A254" s="46" t="s">
        <v>33</v>
      </c>
      <c r="B254" s="23" t="s">
        <v>321</v>
      </c>
      <c r="C254" s="23" t="s">
        <v>331</v>
      </c>
      <c r="D254" s="24">
        <v>800</v>
      </c>
      <c r="E254" s="19">
        <f>1074.3+374.8+5872.2</f>
        <v>7321.2999999999993</v>
      </c>
      <c r="F254" s="19">
        <f>1074.1+45.4+711.2</f>
        <v>1830.7</v>
      </c>
      <c r="G254" s="19">
        <f>1074.1+45.5+711.7</f>
        <v>1831.3</v>
      </c>
    </row>
    <row r="255" spans="1:7" ht="78.75" outlineLevel="2" x14ac:dyDescent="0.25">
      <c r="A255" s="33" t="s">
        <v>332</v>
      </c>
      <c r="B255" s="30" t="s">
        <v>321</v>
      </c>
      <c r="C255" s="30" t="s">
        <v>333</v>
      </c>
      <c r="D255" s="30"/>
      <c r="E255" s="19">
        <f>E256</f>
        <v>28981</v>
      </c>
      <c r="F255" s="19">
        <f t="shared" ref="F255:G255" si="92">F256</f>
        <v>9831.5</v>
      </c>
      <c r="G255" s="19">
        <f t="shared" si="92"/>
        <v>9831.5</v>
      </c>
    </row>
    <row r="256" spans="1:7" ht="31.5" outlineLevel="2" x14ac:dyDescent="0.25">
      <c r="A256" s="33" t="s">
        <v>155</v>
      </c>
      <c r="B256" s="30" t="s">
        <v>321</v>
      </c>
      <c r="C256" s="30" t="s">
        <v>334</v>
      </c>
      <c r="D256" s="30"/>
      <c r="E256" s="1">
        <f>E257+E262</f>
        <v>28981</v>
      </c>
      <c r="F256" s="1">
        <f t="shared" ref="F256:G256" si="93">F257+F262</f>
        <v>9831.5</v>
      </c>
      <c r="G256" s="1">
        <f t="shared" si="93"/>
        <v>9831.5</v>
      </c>
    </row>
    <row r="257" spans="1:7" ht="47.25" outlineLevel="2" x14ac:dyDescent="0.25">
      <c r="A257" s="33" t="s">
        <v>335</v>
      </c>
      <c r="B257" s="30" t="s">
        <v>321</v>
      </c>
      <c r="C257" s="30" t="s">
        <v>336</v>
      </c>
      <c r="D257" s="30"/>
      <c r="E257" s="19">
        <f>E258+E260</f>
        <v>1547.2</v>
      </c>
      <c r="F257" s="19">
        <f t="shared" ref="F257:G257" si="94">F258+F260</f>
        <v>793.9</v>
      </c>
      <c r="G257" s="19">
        <f t="shared" si="94"/>
        <v>793.9</v>
      </c>
    </row>
    <row r="258" spans="1:7" outlineLevel="2" x14ac:dyDescent="0.25">
      <c r="A258" s="33" t="s">
        <v>337</v>
      </c>
      <c r="B258" s="30" t="s">
        <v>321</v>
      </c>
      <c r="C258" s="30" t="s">
        <v>338</v>
      </c>
      <c r="D258" s="30"/>
      <c r="E258" s="19">
        <v>1047.2</v>
      </c>
      <c r="F258" s="19">
        <v>793.9</v>
      </c>
      <c r="G258" s="19">
        <v>793.9</v>
      </c>
    </row>
    <row r="259" spans="1:7" ht="31.5" outlineLevel="2" x14ac:dyDescent="0.25">
      <c r="A259" s="33" t="s">
        <v>76</v>
      </c>
      <c r="B259" s="30" t="s">
        <v>321</v>
      </c>
      <c r="C259" s="30" t="s">
        <v>338</v>
      </c>
      <c r="D259" s="30">
        <v>200</v>
      </c>
      <c r="E259" s="1">
        <v>1047.2</v>
      </c>
      <c r="F259" s="1">
        <v>793.9</v>
      </c>
      <c r="G259" s="1">
        <v>793.9</v>
      </c>
    </row>
    <row r="260" spans="1:7" outlineLevel="2" x14ac:dyDescent="0.25">
      <c r="A260" s="33" t="s">
        <v>339</v>
      </c>
      <c r="B260" s="30" t="s">
        <v>321</v>
      </c>
      <c r="C260" s="30" t="s">
        <v>340</v>
      </c>
      <c r="D260" s="30"/>
      <c r="E260" s="19">
        <f>E261</f>
        <v>500</v>
      </c>
      <c r="F260" s="19">
        <f>F261</f>
        <v>0</v>
      </c>
      <c r="G260" s="19">
        <f>G261</f>
        <v>0</v>
      </c>
    </row>
    <row r="261" spans="1:7" ht="31.5" outlineLevel="2" x14ac:dyDescent="0.25">
      <c r="A261" s="33" t="s">
        <v>76</v>
      </c>
      <c r="B261" s="30" t="s">
        <v>321</v>
      </c>
      <c r="C261" s="30" t="s">
        <v>340</v>
      </c>
      <c r="D261" s="30">
        <v>200</v>
      </c>
      <c r="E261" s="19">
        <f>2097.9-1597.9</f>
        <v>500</v>
      </c>
      <c r="F261" s="19">
        <f>49148.5-49148.5</f>
        <v>0</v>
      </c>
      <c r="G261" s="19">
        <f>49148.5-49148.5</f>
        <v>0</v>
      </c>
    </row>
    <row r="262" spans="1:7" ht="47.25" outlineLevel="2" x14ac:dyDescent="0.25">
      <c r="A262" s="33" t="s">
        <v>341</v>
      </c>
      <c r="B262" s="30" t="s">
        <v>321</v>
      </c>
      <c r="C262" s="30" t="s">
        <v>342</v>
      </c>
      <c r="D262" s="30"/>
      <c r="E262" s="1">
        <f>E263+E265</f>
        <v>27433.8</v>
      </c>
      <c r="F262" s="1">
        <f>F263+F265</f>
        <v>9037.6</v>
      </c>
      <c r="G262" s="1">
        <f>G263+G265</f>
        <v>9037.6</v>
      </c>
    </row>
    <row r="263" spans="1:7" ht="78.75" outlineLevel="2" x14ac:dyDescent="0.25">
      <c r="A263" s="33" t="s">
        <v>343</v>
      </c>
      <c r="B263" s="30" t="s">
        <v>321</v>
      </c>
      <c r="C263" s="30" t="s">
        <v>344</v>
      </c>
      <c r="D263" s="30"/>
      <c r="E263" s="19">
        <f>E264</f>
        <v>9500</v>
      </c>
      <c r="F263" s="19">
        <f>F264</f>
        <v>1668</v>
      </c>
      <c r="G263" s="19">
        <f>G264</f>
        <v>1668</v>
      </c>
    </row>
    <row r="264" spans="1:7" ht="31.5" outlineLevel="2" x14ac:dyDescent="0.25">
      <c r="A264" s="33" t="s">
        <v>76</v>
      </c>
      <c r="B264" s="30" t="s">
        <v>321</v>
      </c>
      <c r="C264" s="30" t="s">
        <v>344</v>
      </c>
      <c r="D264" s="30">
        <v>200</v>
      </c>
      <c r="E264" s="19">
        <v>9500</v>
      </c>
      <c r="F264" s="19">
        <v>1668</v>
      </c>
      <c r="G264" s="19">
        <v>1668</v>
      </c>
    </row>
    <row r="265" spans="1:7" ht="47.25" outlineLevel="2" x14ac:dyDescent="0.25">
      <c r="A265" s="33" t="s">
        <v>345</v>
      </c>
      <c r="B265" s="30" t="s">
        <v>321</v>
      </c>
      <c r="C265" s="30" t="s">
        <v>346</v>
      </c>
      <c r="D265" s="30"/>
      <c r="E265" s="1">
        <f>E266</f>
        <v>17933.8</v>
      </c>
      <c r="F265" s="1">
        <f>F266</f>
        <v>7369.6</v>
      </c>
      <c r="G265" s="1">
        <f>G266</f>
        <v>7369.6</v>
      </c>
    </row>
    <row r="266" spans="1:7" ht="31.5" outlineLevel="2" x14ac:dyDescent="0.25">
      <c r="A266" s="33" t="s">
        <v>76</v>
      </c>
      <c r="B266" s="30" t="s">
        <v>321</v>
      </c>
      <c r="C266" s="30" t="s">
        <v>346</v>
      </c>
      <c r="D266" s="30">
        <v>200</v>
      </c>
      <c r="E266" s="19">
        <f>19956-2022.2</f>
        <v>17933.8</v>
      </c>
      <c r="F266" s="19">
        <v>7369.6</v>
      </c>
      <c r="G266" s="19">
        <v>7369.6</v>
      </c>
    </row>
    <row r="267" spans="1:7" x14ac:dyDescent="0.25">
      <c r="A267" s="36" t="s">
        <v>347</v>
      </c>
      <c r="B267" s="37" t="s">
        <v>51</v>
      </c>
      <c r="C267" s="37"/>
      <c r="D267" s="47"/>
      <c r="E267" s="16">
        <f>E268+E298+E385+E454</f>
        <v>2996637.9400000004</v>
      </c>
      <c r="F267" s="16">
        <f>F268+F298+F385+F454</f>
        <v>3854592.2</v>
      </c>
      <c r="G267" s="16">
        <f>G268+G298+G385+G454</f>
        <v>3067279.5</v>
      </c>
    </row>
    <row r="268" spans="1:7" outlineLevel="1" x14ac:dyDescent="0.25">
      <c r="A268" s="40" t="s">
        <v>52</v>
      </c>
      <c r="B268" s="23" t="s">
        <v>53</v>
      </c>
      <c r="C268" s="23"/>
      <c r="D268" s="24"/>
      <c r="E268" s="19">
        <f>E278+E269</f>
        <v>53636.299999999996</v>
      </c>
      <c r="F268" s="19">
        <f t="shared" ref="F268:G268" si="95">F278+F269</f>
        <v>18884.099999999999</v>
      </c>
      <c r="G268" s="19">
        <f t="shared" si="95"/>
        <v>18884.099999999999</v>
      </c>
    </row>
    <row r="269" spans="1:7" ht="47.25" outlineLevel="2" x14ac:dyDescent="0.25">
      <c r="A269" s="29" t="s">
        <v>59</v>
      </c>
      <c r="B269" s="23" t="s">
        <v>53</v>
      </c>
      <c r="C269" s="23" t="s">
        <v>60</v>
      </c>
      <c r="D269" s="24"/>
      <c r="E269" s="19">
        <f>E274+E270</f>
        <v>13512.9</v>
      </c>
      <c r="F269" s="19">
        <f>F274</f>
        <v>1024.8</v>
      </c>
      <c r="G269" s="19">
        <f>G274</f>
        <v>1024.8</v>
      </c>
    </row>
    <row r="270" spans="1:7" outlineLevel="2" x14ac:dyDescent="0.25">
      <c r="A270" s="74" t="s">
        <v>228</v>
      </c>
      <c r="B270" s="76" t="s">
        <v>53</v>
      </c>
      <c r="C270" s="76" t="s">
        <v>711</v>
      </c>
      <c r="D270" s="76"/>
      <c r="E270" s="19">
        <f t="shared" ref="E270:G272" si="96">E271</f>
        <v>5350.4</v>
      </c>
      <c r="F270" s="19">
        <f t="shared" si="96"/>
        <v>0</v>
      </c>
      <c r="G270" s="19">
        <f t="shared" si="96"/>
        <v>0</v>
      </c>
    </row>
    <row r="271" spans="1:7" ht="31.5" outlineLevel="2" x14ac:dyDescent="0.25">
      <c r="A271" s="74" t="s">
        <v>709</v>
      </c>
      <c r="B271" s="76" t="s">
        <v>53</v>
      </c>
      <c r="C271" s="76" t="s">
        <v>712</v>
      </c>
      <c r="D271" s="76"/>
      <c r="E271" s="19">
        <f t="shared" si="96"/>
        <v>5350.4</v>
      </c>
      <c r="F271" s="19">
        <f t="shared" si="96"/>
        <v>0</v>
      </c>
      <c r="G271" s="19">
        <f t="shared" si="96"/>
        <v>0</v>
      </c>
    </row>
    <row r="272" spans="1:7" ht="47.25" outlineLevel="2" x14ac:dyDescent="0.25">
      <c r="A272" s="74" t="s">
        <v>710</v>
      </c>
      <c r="B272" s="76" t="s">
        <v>53</v>
      </c>
      <c r="C272" s="76" t="s">
        <v>713</v>
      </c>
      <c r="D272" s="76"/>
      <c r="E272" s="19">
        <f t="shared" si="96"/>
        <v>5350.4</v>
      </c>
      <c r="F272" s="19">
        <f t="shared" si="96"/>
        <v>0</v>
      </c>
      <c r="G272" s="19">
        <f t="shared" si="96"/>
        <v>0</v>
      </c>
    </row>
    <row r="273" spans="1:7" ht="47.25" outlineLevel="2" x14ac:dyDescent="0.25">
      <c r="A273" s="78" t="s">
        <v>310</v>
      </c>
      <c r="B273" s="76" t="s">
        <v>53</v>
      </c>
      <c r="C273" s="76" t="s">
        <v>713</v>
      </c>
      <c r="D273" s="76" t="s">
        <v>465</v>
      </c>
      <c r="E273" s="19">
        <f>482+4868.4</f>
        <v>5350.4</v>
      </c>
      <c r="F273" s="19">
        <v>0</v>
      </c>
      <c r="G273" s="19">
        <v>0</v>
      </c>
    </row>
    <row r="274" spans="1:7" outlineLevel="2" x14ac:dyDescent="0.25">
      <c r="A274" s="33" t="s">
        <v>144</v>
      </c>
      <c r="B274" s="30" t="s">
        <v>53</v>
      </c>
      <c r="C274" s="30" t="s">
        <v>135</v>
      </c>
      <c r="D274" s="24"/>
      <c r="E274" s="19">
        <f>E275</f>
        <v>8162.5</v>
      </c>
      <c r="F274" s="19">
        <f t="shared" ref="F274:G276" si="97">F275</f>
        <v>1024.8</v>
      </c>
      <c r="G274" s="19">
        <f t="shared" si="97"/>
        <v>1024.8</v>
      </c>
    </row>
    <row r="275" spans="1:7" ht="110.25" outlineLevel="2" x14ac:dyDescent="0.25">
      <c r="A275" s="29" t="s">
        <v>401</v>
      </c>
      <c r="B275" s="23" t="s">
        <v>53</v>
      </c>
      <c r="C275" s="23" t="s">
        <v>402</v>
      </c>
      <c r="D275" s="24"/>
      <c r="E275" s="19">
        <f>E276</f>
        <v>8162.5</v>
      </c>
      <c r="F275" s="19">
        <f t="shared" si="97"/>
        <v>1024.8</v>
      </c>
      <c r="G275" s="19">
        <f t="shared" si="97"/>
        <v>1024.8</v>
      </c>
    </row>
    <row r="276" spans="1:7" outlineLevel="2" x14ac:dyDescent="0.25">
      <c r="A276" s="29" t="s">
        <v>403</v>
      </c>
      <c r="B276" s="23" t="s">
        <v>53</v>
      </c>
      <c r="C276" s="23" t="s">
        <v>404</v>
      </c>
      <c r="D276" s="24"/>
      <c r="E276" s="19">
        <f>E277</f>
        <v>8162.5</v>
      </c>
      <c r="F276" s="19">
        <f t="shared" si="97"/>
        <v>1024.8</v>
      </c>
      <c r="G276" s="19">
        <f t="shared" si="97"/>
        <v>1024.8</v>
      </c>
    </row>
    <row r="277" spans="1:7" ht="31.5" outlineLevel="2" x14ac:dyDescent="0.25">
      <c r="A277" s="48" t="s">
        <v>76</v>
      </c>
      <c r="B277" s="23" t="s">
        <v>53</v>
      </c>
      <c r="C277" s="23" t="s">
        <v>404</v>
      </c>
      <c r="D277" s="24">
        <v>200</v>
      </c>
      <c r="E277" s="19">
        <f>1935.5+5730.6+496.4</f>
        <v>8162.5</v>
      </c>
      <c r="F277" s="19">
        <v>1024.8</v>
      </c>
      <c r="G277" s="19">
        <v>1024.8</v>
      </c>
    </row>
    <row r="278" spans="1:7" ht="78.75" outlineLevel="2" x14ac:dyDescent="0.25">
      <c r="A278" s="40" t="s">
        <v>348</v>
      </c>
      <c r="B278" s="23" t="s">
        <v>53</v>
      </c>
      <c r="C278" s="23" t="s">
        <v>54</v>
      </c>
      <c r="D278" s="24"/>
      <c r="E278" s="19">
        <f>E279+E291</f>
        <v>40123.399999999994</v>
      </c>
      <c r="F278" s="19">
        <f>F279+F291</f>
        <v>17859.3</v>
      </c>
      <c r="G278" s="19">
        <f>G279+G291</f>
        <v>17859.3</v>
      </c>
    </row>
    <row r="279" spans="1:7" ht="31.5" outlineLevel="2" x14ac:dyDescent="0.25">
      <c r="A279" s="33" t="s">
        <v>155</v>
      </c>
      <c r="B279" s="30" t="s">
        <v>53</v>
      </c>
      <c r="C279" s="30" t="s">
        <v>349</v>
      </c>
      <c r="D279" s="24"/>
      <c r="E279" s="19">
        <f>E280</f>
        <v>22264.1</v>
      </c>
      <c r="F279" s="19">
        <f>F280</f>
        <v>0</v>
      </c>
      <c r="G279" s="19">
        <f>G280</f>
        <v>0</v>
      </c>
    </row>
    <row r="280" spans="1:7" ht="31.5" outlineLevel="2" x14ac:dyDescent="0.25">
      <c r="A280" s="33" t="s">
        <v>350</v>
      </c>
      <c r="B280" s="23" t="s">
        <v>53</v>
      </c>
      <c r="C280" s="23" t="s">
        <v>351</v>
      </c>
      <c r="D280" s="24"/>
      <c r="E280" s="19">
        <f>E281+E287+E283+E285+E289</f>
        <v>22264.1</v>
      </c>
      <c r="F280" s="19">
        <f t="shared" ref="F280:G280" si="98">F281+F287+F283+F285+F289</f>
        <v>0</v>
      </c>
      <c r="G280" s="19">
        <f t="shared" si="98"/>
        <v>0</v>
      </c>
    </row>
    <row r="281" spans="1:7" outlineLevel="2" x14ac:dyDescent="0.25">
      <c r="A281" s="35" t="s">
        <v>352</v>
      </c>
      <c r="B281" s="23" t="s">
        <v>53</v>
      </c>
      <c r="C281" s="23" t="s">
        <v>353</v>
      </c>
      <c r="D281" s="24"/>
      <c r="E281" s="19">
        <f>E282</f>
        <v>11071.800000000001</v>
      </c>
      <c r="F281" s="19">
        <f t="shared" ref="F281:G281" si="99">F282</f>
        <v>0</v>
      </c>
      <c r="G281" s="19">
        <f t="shared" si="99"/>
        <v>0</v>
      </c>
    </row>
    <row r="282" spans="1:7" ht="31.5" outlineLevel="2" x14ac:dyDescent="0.25">
      <c r="A282" s="33" t="s">
        <v>76</v>
      </c>
      <c r="B282" s="23" t="s">
        <v>53</v>
      </c>
      <c r="C282" s="23" t="s">
        <v>353</v>
      </c>
      <c r="D282" s="3">
        <v>200</v>
      </c>
      <c r="E282" s="19">
        <f>11636.1+543.5-1107.8</f>
        <v>11071.800000000001</v>
      </c>
      <c r="F282" s="19">
        <v>0</v>
      </c>
      <c r="G282" s="19">
        <v>0</v>
      </c>
    </row>
    <row r="283" spans="1:7" ht="31.5" outlineLevel="2" x14ac:dyDescent="0.25">
      <c r="A283" s="85" t="s">
        <v>703</v>
      </c>
      <c r="B283" s="76" t="s">
        <v>53</v>
      </c>
      <c r="C283" s="76" t="s">
        <v>704</v>
      </c>
      <c r="D283" s="76"/>
      <c r="E283" s="19">
        <f t="shared" ref="E283:G283" si="100">E284</f>
        <v>219.5</v>
      </c>
      <c r="F283" s="19">
        <f t="shared" si="100"/>
        <v>0</v>
      </c>
      <c r="G283" s="19">
        <f t="shared" si="100"/>
        <v>0</v>
      </c>
    </row>
    <row r="284" spans="1:7" ht="31.5" outlineLevel="2" x14ac:dyDescent="0.25">
      <c r="A284" s="85" t="s">
        <v>76</v>
      </c>
      <c r="B284" s="76" t="s">
        <v>53</v>
      </c>
      <c r="C284" s="76" t="s">
        <v>704</v>
      </c>
      <c r="D284" s="76">
        <v>200</v>
      </c>
      <c r="E284" s="19">
        <v>219.5</v>
      </c>
      <c r="F284" s="19"/>
      <c r="G284" s="19"/>
    </row>
    <row r="285" spans="1:7" ht="47.25" outlineLevel="2" x14ac:dyDescent="0.25">
      <c r="A285" s="22" t="s">
        <v>519</v>
      </c>
      <c r="B285" s="18" t="s">
        <v>53</v>
      </c>
      <c r="C285" s="18" t="s">
        <v>520</v>
      </c>
      <c r="D285" s="18"/>
      <c r="E285" s="19">
        <f>E286</f>
        <v>2065</v>
      </c>
      <c r="F285" s="19">
        <f t="shared" ref="F285:G285" si="101">F286</f>
        <v>0</v>
      </c>
      <c r="G285" s="19">
        <f t="shared" si="101"/>
        <v>0</v>
      </c>
    </row>
    <row r="286" spans="1:7" ht="31.5" outlineLevel="2" x14ac:dyDescent="0.25">
      <c r="A286" s="22" t="s">
        <v>76</v>
      </c>
      <c r="B286" s="18" t="s">
        <v>53</v>
      </c>
      <c r="C286" s="18" t="s">
        <v>520</v>
      </c>
      <c r="D286" s="18">
        <v>200</v>
      </c>
      <c r="E286" s="19">
        <v>2065</v>
      </c>
      <c r="F286" s="19">
        <v>0</v>
      </c>
      <c r="G286" s="19">
        <v>0</v>
      </c>
    </row>
    <row r="287" spans="1:7" ht="63" outlineLevel="2" x14ac:dyDescent="0.25">
      <c r="A287" s="77" t="s">
        <v>705</v>
      </c>
      <c r="B287" s="76" t="s">
        <v>53</v>
      </c>
      <c r="C287" s="76" t="s">
        <v>706</v>
      </c>
      <c r="D287" s="76"/>
      <c r="E287" s="19">
        <f t="shared" ref="E287:G287" si="102">E288</f>
        <v>1107.8</v>
      </c>
      <c r="F287" s="19">
        <f t="shared" si="102"/>
        <v>0</v>
      </c>
      <c r="G287" s="19">
        <f t="shared" si="102"/>
        <v>0</v>
      </c>
    </row>
    <row r="288" spans="1:7" ht="47.25" outlineLevel="2" x14ac:dyDescent="0.25">
      <c r="A288" s="77" t="s">
        <v>310</v>
      </c>
      <c r="B288" s="76" t="s">
        <v>53</v>
      </c>
      <c r="C288" s="76" t="s">
        <v>706</v>
      </c>
      <c r="D288" s="76" t="s">
        <v>465</v>
      </c>
      <c r="E288" s="19">
        <v>1107.8</v>
      </c>
      <c r="F288" s="19">
        <v>0</v>
      </c>
      <c r="G288" s="19">
        <v>0</v>
      </c>
    </row>
    <row r="289" spans="1:7" ht="31.5" outlineLevel="2" x14ac:dyDescent="0.25">
      <c r="A289" s="86" t="s">
        <v>707</v>
      </c>
      <c r="B289" s="76" t="s">
        <v>53</v>
      </c>
      <c r="C289" s="76" t="s">
        <v>708</v>
      </c>
      <c r="D289" s="76"/>
      <c r="E289" s="19">
        <f t="shared" ref="E289:G289" si="103">E290</f>
        <v>7800</v>
      </c>
      <c r="F289" s="19">
        <f t="shared" si="103"/>
        <v>0</v>
      </c>
      <c r="G289" s="19">
        <f t="shared" si="103"/>
        <v>0</v>
      </c>
    </row>
    <row r="290" spans="1:7" outlineLevel="2" x14ac:dyDescent="0.25">
      <c r="A290" s="86" t="s">
        <v>33</v>
      </c>
      <c r="B290" s="76" t="s">
        <v>53</v>
      </c>
      <c r="C290" s="76" t="s">
        <v>708</v>
      </c>
      <c r="D290" s="76" t="s">
        <v>532</v>
      </c>
      <c r="E290" s="19">
        <v>7800</v>
      </c>
      <c r="F290" s="19">
        <v>0</v>
      </c>
      <c r="G290" s="19">
        <v>0</v>
      </c>
    </row>
    <row r="291" spans="1:7" outlineLevel="2" x14ac:dyDescent="0.25">
      <c r="A291" s="33" t="s">
        <v>144</v>
      </c>
      <c r="B291" s="30" t="s">
        <v>53</v>
      </c>
      <c r="C291" s="30" t="s">
        <v>83</v>
      </c>
      <c r="D291" s="3"/>
      <c r="E291" s="19">
        <f>E292+E295</f>
        <v>17859.3</v>
      </c>
      <c r="F291" s="19">
        <f t="shared" ref="F291:G291" si="104">F292+F295</f>
        <v>17859.3</v>
      </c>
      <c r="G291" s="19">
        <f t="shared" si="104"/>
        <v>17859.3</v>
      </c>
    </row>
    <row r="292" spans="1:7" ht="47.25" outlineLevel="2" x14ac:dyDescent="0.25">
      <c r="A292" s="33" t="s">
        <v>384</v>
      </c>
      <c r="B292" s="30" t="s">
        <v>53</v>
      </c>
      <c r="C292" s="30" t="s">
        <v>385</v>
      </c>
      <c r="D292" s="3"/>
      <c r="E292" s="19">
        <f>E293</f>
        <v>4359.3</v>
      </c>
      <c r="F292" s="19">
        <f t="shared" ref="F292:G293" si="105">F293</f>
        <v>4359.3</v>
      </c>
      <c r="G292" s="19">
        <f t="shared" si="105"/>
        <v>4359.3</v>
      </c>
    </row>
    <row r="293" spans="1:7" ht="78.75" outlineLevel="2" x14ac:dyDescent="0.25">
      <c r="A293" s="33" t="s">
        <v>386</v>
      </c>
      <c r="B293" s="30" t="s">
        <v>53</v>
      </c>
      <c r="C293" s="30" t="s">
        <v>387</v>
      </c>
      <c r="D293" s="3"/>
      <c r="E293" s="19">
        <f>E294</f>
        <v>4359.3</v>
      </c>
      <c r="F293" s="19">
        <f t="shared" si="105"/>
        <v>4359.3</v>
      </c>
      <c r="G293" s="19">
        <f t="shared" si="105"/>
        <v>4359.3</v>
      </c>
    </row>
    <row r="294" spans="1:7" outlineLevel="2" x14ac:dyDescent="0.25">
      <c r="A294" s="48" t="s">
        <v>33</v>
      </c>
      <c r="B294" s="23" t="s">
        <v>53</v>
      </c>
      <c r="C294" s="3" t="s">
        <v>387</v>
      </c>
      <c r="D294" s="24">
        <v>800</v>
      </c>
      <c r="E294" s="19">
        <v>4359.3</v>
      </c>
      <c r="F294" s="19">
        <v>4359.3</v>
      </c>
      <c r="G294" s="19">
        <v>4359.3</v>
      </c>
    </row>
    <row r="295" spans="1:7" ht="78.75" outlineLevel="2" x14ac:dyDescent="0.25">
      <c r="A295" s="17" t="s">
        <v>512</v>
      </c>
      <c r="B295" s="30" t="s">
        <v>53</v>
      </c>
      <c r="C295" s="30" t="s">
        <v>405</v>
      </c>
      <c r="D295" s="24"/>
      <c r="E295" s="19">
        <f>E296</f>
        <v>13500</v>
      </c>
      <c r="F295" s="19">
        <f t="shared" ref="F295:G296" si="106">F296</f>
        <v>13500</v>
      </c>
      <c r="G295" s="19">
        <f t="shared" si="106"/>
        <v>13500</v>
      </c>
    </row>
    <row r="296" spans="1:7" ht="78.75" outlineLevel="2" x14ac:dyDescent="0.25">
      <c r="A296" s="48" t="s">
        <v>406</v>
      </c>
      <c r="B296" s="23" t="s">
        <v>53</v>
      </c>
      <c r="C296" s="23" t="s">
        <v>509</v>
      </c>
      <c r="D296" s="24"/>
      <c r="E296" s="19">
        <f>E297</f>
        <v>13500</v>
      </c>
      <c r="F296" s="19">
        <f t="shared" si="106"/>
        <v>13500</v>
      </c>
      <c r="G296" s="19">
        <f t="shared" si="106"/>
        <v>13500</v>
      </c>
    </row>
    <row r="297" spans="1:7" ht="31.5" outlineLevel="2" x14ac:dyDescent="0.25">
      <c r="A297" s="48" t="s">
        <v>76</v>
      </c>
      <c r="B297" s="23" t="s">
        <v>53</v>
      </c>
      <c r="C297" s="23" t="s">
        <v>509</v>
      </c>
      <c r="D297" s="24">
        <v>200</v>
      </c>
      <c r="E297" s="19">
        <v>13500</v>
      </c>
      <c r="F297" s="19">
        <v>13500</v>
      </c>
      <c r="G297" s="19">
        <v>13500</v>
      </c>
    </row>
    <row r="298" spans="1:7" outlineLevel="1" x14ac:dyDescent="0.25">
      <c r="A298" s="40" t="s">
        <v>55</v>
      </c>
      <c r="B298" s="23" t="s">
        <v>56</v>
      </c>
      <c r="C298" s="23"/>
      <c r="D298" s="3"/>
      <c r="E298" s="19">
        <f>E299</f>
        <v>1356483.24</v>
      </c>
      <c r="F298" s="19">
        <f t="shared" ref="F298:G298" si="107">F299</f>
        <v>2975153.7</v>
      </c>
      <c r="G298" s="19">
        <f t="shared" si="107"/>
        <v>2186360</v>
      </c>
    </row>
    <row r="299" spans="1:7" ht="78.75" outlineLevel="2" x14ac:dyDescent="0.25">
      <c r="A299" s="40" t="s">
        <v>348</v>
      </c>
      <c r="B299" s="23" t="s">
        <v>56</v>
      </c>
      <c r="C299" s="23" t="s">
        <v>54</v>
      </c>
      <c r="D299" s="3"/>
      <c r="E299" s="19">
        <f>E304+E369+E300</f>
        <v>1356483.24</v>
      </c>
      <c r="F299" s="19">
        <f>F304+F369+F300</f>
        <v>2975153.7</v>
      </c>
      <c r="G299" s="19">
        <f>G304+G369+G300</f>
        <v>2186360</v>
      </c>
    </row>
    <row r="300" spans="1:7" outlineLevel="2" x14ac:dyDescent="0.25">
      <c r="A300" s="22" t="s">
        <v>228</v>
      </c>
      <c r="B300" s="18" t="s">
        <v>56</v>
      </c>
      <c r="C300" s="18" t="s">
        <v>609</v>
      </c>
      <c r="D300" s="18"/>
      <c r="E300" s="19">
        <f>E301</f>
        <v>399741.2</v>
      </c>
      <c r="F300" s="19">
        <f t="shared" ref="F300:G302" si="108">F301</f>
        <v>434566</v>
      </c>
      <c r="G300" s="19">
        <f t="shared" si="108"/>
        <v>540837.30000000005</v>
      </c>
    </row>
    <row r="301" spans="1:7" ht="47.25" outlineLevel="2" x14ac:dyDescent="0.25">
      <c r="A301" s="22" t="s">
        <v>607</v>
      </c>
      <c r="B301" s="18" t="s">
        <v>56</v>
      </c>
      <c r="C301" s="18" t="s">
        <v>610</v>
      </c>
      <c r="D301" s="18"/>
      <c r="E301" s="19">
        <f t="shared" ref="E301:E302" si="109">E302</f>
        <v>399741.2</v>
      </c>
      <c r="F301" s="19">
        <f t="shared" si="108"/>
        <v>434566</v>
      </c>
      <c r="G301" s="19">
        <f t="shared" si="108"/>
        <v>540837.30000000005</v>
      </c>
    </row>
    <row r="302" spans="1:7" ht="31.5" outlineLevel="2" x14ac:dyDescent="0.25">
      <c r="A302" s="22" t="s">
        <v>608</v>
      </c>
      <c r="B302" s="18" t="s">
        <v>56</v>
      </c>
      <c r="C302" s="18" t="s">
        <v>611</v>
      </c>
      <c r="D302" s="18"/>
      <c r="E302" s="19">
        <f t="shared" si="109"/>
        <v>399741.2</v>
      </c>
      <c r="F302" s="19">
        <f t="shared" si="108"/>
        <v>434566</v>
      </c>
      <c r="G302" s="19">
        <f t="shared" si="108"/>
        <v>540837.30000000005</v>
      </c>
    </row>
    <row r="303" spans="1:7" ht="47.25" outlineLevel="2" x14ac:dyDescent="0.25">
      <c r="A303" s="22" t="s">
        <v>310</v>
      </c>
      <c r="B303" s="18" t="s">
        <v>56</v>
      </c>
      <c r="C303" s="18" t="s">
        <v>611</v>
      </c>
      <c r="D303" s="18" t="s">
        <v>465</v>
      </c>
      <c r="E303" s="19">
        <f>395743.8+3997.4</f>
        <v>399741.2</v>
      </c>
      <c r="F303" s="19">
        <f>4345.7+430220.3</f>
        <v>434566</v>
      </c>
      <c r="G303" s="19">
        <f>5408.4+535428.9</f>
        <v>540837.30000000005</v>
      </c>
    </row>
    <row r="304" spans="1:7" ht="31.5" outlineLevel="2" x14ac:dyDescent="0.25">
      <c r="A304" s="33" t="s">
        <v>155</v>
      </c>
      <c r="B304" s="30" t="s">
        <v>56</v>
      </c>
      <c r="C304" s="30" t="s">
        <v>349</v>
      </c>
      <c r="D304" s="3"/>
      <c r="E304" s="19">
        <f>E305+E366</f>
        <v>508184.84</v>
      </c>
      <c r="F304" s="19">
        <f>F305</f>
        <v>2068775.4000000001</v>
      </c>
      <c r="G304" s="19">
        <f>G305</f>
        <v>1152033.2000000002</v>
      </c>
    </row>
    <row r="305" spans="1:7" ht="47.25" outlineLevel="2" x14ac:dyDescent="0.25">
      <c r="A305" s="33" t="s">
        <v>642</v>
      </c>
      <c r="B305" s="23" t="s">
        <v>56</v>
      </c>
      <c r="C305" s="23" t="s">
        <v>354</v>
      </c>
      <c r="D305" s="3"/>
      <c r="E305" s="19">
        <f>E306+E308+E310+E312+E320+E322+E324+E326+E328+E314+E318+E330+E332+E334+E336+E338+E340+E316+E342+E344+E346+E348+E350+E352+E354+E356+E358+E360+E362+E364</f>
        <v>500088.74000000005</v>
      </c>
      <c r="F305" s="19">
        <f t="shared" ref="F305:G305" si="110">F306+F308+F310+F312+F320+F322+F324+F326+F328+F314+F318+F330+F332+F334+F336+F338+F340+F316+F342+F344+F346+F348+F350+F352+F354+F356+F358+F360+F362+F364</f>
        <v>2068775.4000000001</v>
      </c>
      <c r="G305" s="19">
        <f t="shared" si="110"/>
        <v>1152033.2000000002</v>
      </c>
    </row>
    <row r="306" spans="1:7" ht="47.25" outlineLevel="2" x14ac:dyDescent="0.25">
      <c r="A306" s="49" t="s">
        <v>355</v>
      </c>
      <c r="B306" s="23" t="s">
        <v>56</v>
      </c>
      <c r="C306" s="23" t="s">
        <v>356</v>
      </c>
      <c r="D306" s="3"/>
      <c r="E306" s="19">
        <f>E307</f>
        <v>12386.9</v>
      </c>
      <c r="F306" s="19">
        <f t="shared" ref="F306:G306" si="111">F307</f>
        <v>0</v>
      </c>
      <c r="G306" s="19">
        <f t="shared" si="111"/>
        <v>0</v>
      </c>
    </row>
    <row r="307" spans="1:7" ht="47.25" outlineLevel="2" x14ac:dyDescent="0.25">
      <c r="A307" s="49" t="s">
        <v>310</v>
      </c>
      <c r="B307" s="23" t="s">
        <v>56</v>
      </c>
      <c r="C307" s="23" t="s">
        <v>356</v>
      </c>
      <c r="D307" s="3">
        <v>400</v>
      </c>
      <c r="E307" s="19">
        <v>12386.9</v>
      </c>
      <c r="F307" s="19">
        <v>0</v>
      </c>
      <c r="G307" s="19">
        <v>0</v>
      </c>
    </row>
    <row r="308" spans="1:7" ht="94.5" outlineLevel="2" x14ac:dyDescent="0.25">
      <c r="A308" s="49" t="s">
        <v>495</v>
      </c>
      <c r="B308" s="23" t="s">
        <v>56</v>
      </c>
      <c r="C308" s="23" t="s">
        <v>357</v>
      </c>
      <c r="D308" s="3"/>
      <c r="E308" s="19">
        <f>E309</f>
        <v>8067.5</v>
      </c>
      <c r="F308" s="19">
        <f t="shared" ref="F308:G308" si="112">F309</f>
        <v>0</v>
      </c>
      <c r="G308" s="19">
        <f t="shared" si="112"/>
        <v>0</v>
      </c>
    </row>
    <row r="309" spans="1:7" ht="47.25" outlineLevel="2" x14ac:dyDescent="0.25">
      <c r="A309" s="49" t="s">
        <v>310</v>
      </c>
      <c r="B309" s="23" t="s">
        <v>56</v>
      </c>
      <c r="C309" s="23" t="s">
        <v>357</v>
      </c>
      <c r="D309" s="3">
        <v>400</v>
      </c>
      <c r="E309" s="19">
        <v>8067.5</v>
      </c>
      <c r="F309" s="19">
        <v>0</v>
      </c>
      <c r="G309" s="19">
        <v>0</v>
      </c>
    </row>
    <row r="310" spans="1:7" ht="31.5" outlineLevel="2" x14ac:dyDescent="0.25">
      <c r="A310" s="49" t="s">
        <v>358</v>
      </c>
      <c r="B310" s="23" t="s">
        <v>56</v>
      </c>
      <c r="C310" s="23" t="s">
        <v>359</v>
      </c>
      <c r="D310" s="3"/>
      <c r="E310" s="19">
        <f>E311</f>
        <v>14587.8</v>
      </c>
      <c r="F310" s="19">
        <f t="shared" ref="F310:G310" si="113">F311</f>
        <v>0</v>
      </c>
      <c r="G310" s="19">
        <f t="shared" si="113"/>
        <v>0</v>
      </c>
    </row>
    <row r="311" spans="1:7" ht="31.5" outlineLevel="2" x14ac:dyDescent="0.25">
      <c r="A311" s="33" t="s">
        <v>76</v>
      </c>
      <c r="B311" s="23" t="s">
        <v>56</v>
      </c>
      <c r="C311" s="23" t="s">
        <v>359</v>
      </c>
      <c r="D311" s="3">
        <v>200</v>
      </c>
      <c r="E311" s="19">
        <v>14587.8</v>
      </c>
      <c r="F311" s="19">
        <v>0</v>
      </c>
      <c r="G311" s="19">
        <v>0</v>
      </c>
    </row>
    <row r="312" spans="1:7" ht="31.5" outlineLevel="2" x14ac:dyDescent="0.25">
      <c r="A312" s="49" t="s">
        <v>360</v>
      </c>
      <c r="B312" s="23" t="s">
        <v>56</v>
      </c>
      <c r="C312" s="23" t="s">
        <v>361</v>
      </c>
      <c r="D312" s="3"/>
      <c r="E312" s="19">
        <f>E313</f>
        <v>200</v>
      </c>
      <c r="F312" s="19">
        <f t="shared" ref="F312:G312" si="114">F313</f>
        <v>0</v>
      </c>
      <c r="G312" s="19">
        <f t="shared" si="114"/>
        <v>0</v>
      </c>
    </row>
    <row r="313" spans="1:7" ht="47.25" outlineLevel="2" x14ac:dyDescent="0.25">
      <c r="A313" s="49" t="s">
        <v>310</v>
      </c>
      <c r="B313" s="23" t="s">
        <v>56</v>
      </c>
      <c r="C313" s="23" t="s">
        <v>361</v>
      </c>
      <c r="D313" s="3">
        <v>400</v>
      </c>
      <c r="E313" s="19">
        <v>200</v>
      </c>
      <c r="F313" s="19">
        <v>0</v>
      </c>
      <c r="G313" s="19">
        <v>0</v>
      </c>
    </row>
    <row r="314" spans="1:7" ht="63" outlineLevel="2" x14ac:dyDescent="0.25">
      <c r="A314" s="20" t="s">
        <v>388</v>
      </c>
      <c r="B314" s="23" t="s">
        <v>56</v>
      </c>
      <c r="C314" s="23" t="s">
        <v>389</v>
      </c>
      <c r="D314" s="24"/>
      <c r="E314" s="19">
        <f>E315</f>
        <v>4285.5</v>
      </c>
      <c r="F314" s="19">
        <f>F315</f>
        <v>0</v>
      </c>
      <c r="G314" s="19">
        <f>G315</f>
        <v>0</v>
      </c>
    </row>
    <row r="315" spans="1:7" ht="31.5" outlineLevel="2" x14ac:dyDescent="0.25">
      <c r="A315" s="20" t="s">
        <v>76</v>
      </c>
      <c r="B315" s="23" t="s">
        <v>56</v>
      </c>
      <c r="C315" s="23" t="s">
        <v>389</v>
      </c>
      <c r="D315" s="24">
        <v>200</v>
      </c>
      <c r="E315" s="19">
        <v>4285.5</v>
      </c>
      <c r="F315" s="19">
        <v>0</v>
      </c>
      <c r="G315" s="19">
        <v>0</v>
      </c>
    </row>
    <row r="316" spans="1:7" ht="94.5" outlineLevel="2" x14ac:dyDescent="0.25">
      <c r="A316" s="77" t="s">
        <v>714</v>
      </c>
      <c r="B316" s="76" t="s">
        <v>56</v>
      </c>
      <c r="C316" s="76" t="s">
        <v>715</v>
      </c>
      <c r="D316" s="76"/>
      <c r="E316" s="19">
        <f>E317</f>
        <v>11772.9</v>
      </c>
      <c r="F316" s="19">
        <f t="shared" ref="F316:G316" si="115">F317</f>
        <v>0</v>
      </c>
      <c r="G316" s="19">
        <f t="shared" si="115"/>
        <v>0</v>
      </c>
    </row>
    <row r="317" spans="1:7" ht="47.25" outlineLevel="2" x14ac:dyDescent="0.25">
      <c r="A317" s="77" t="s">
        <v>310</v>
      </c>
      <c r="B317" s="76" t="s">
        <v>56</v>
      </c>
      <c r="C317" s="76" t="s">
        <v>715</v>
      </c>
      <c r="D317" s="76" t="s">
        <v>465</v>
      </c>
      <c r="E317" s="19">
        <f>1722.9+50+10000</f>
        <v>11772.9</v>
      </c>
      <c r="F317" s="19">
        <v>0</v>
      </c>
      <c r="G317" s="19">
        <v>0</v>
      </c>
    </row>
    <row r="318" spans="1:7" ht="94.5" outlineLevel="2" x14ac:dyDescent="0.25">
      <c r="A318" s="22" t="s">
        <v>521</v>
      </c>
      <c r="B318" s="18" t="s">
        <v>56</v>
      </c>
      <c r="C318" s="18" t="s">
        <v>522</v>
      </c>
      <c r="D318" s="18"/>
      <c r="E318" s="19">
        <f>E319</f>
        <v>16314.000000000002</v>
      </c>
      <c r="F318" s="19">
        <f t="shared" ref="F318:G318" si="116">F319</f>
        <v>0</v>
      </c>
      <c r="G318" s="19">
        <f t="shared" si="116"/>
        <v>0</v>
      </c>
    </row>
    <row r="319" spans="1:7" ht="31.5" outlineLevel="2" x14ac:dyDescent="0.25">
      <c r="A319" s="22" t="s">
        <v>76</v>
      </c>
      <c r="B319" s="18" t="s">
        <v>56</v>
      </c>
      <c r="C319" s="18" t="s">
        <v>522</v>
      </c>
      <c r="D319" s="18" t="s">
        <v>39</v>
      </c>
      <c r="E319" s="19">
        <f>15755.2+494.7+64.1</f>
        <v>16314.000000000002</v>
      </c>
      <c r="F319" s="19">
        <v>0</v>
      </c>
      <c r="G319" s="19">
        <v>0</v>
      </c>
    </row>
    <row r="320" spans="1:7" ht="94.5" outlineLevel="2" x14ac:dyDescent="0.25">
      <c r="A320" s="49" t="s">
        <v>362</v>
      </c>
      <c r="B320" s="23" t="s">
        <v>56</v>
      </c>
      <c r="C320" s="3" t="s">
        <v>363</v>
      </c>
      <c r="D320" s="3"/>
      <c r="E320" s="19">
        <f>E321</f>
        <v>0</v>
      </c>
      <c r="F320" s="19">
        <f t="shared" ref="F320:G320" si="117">F321</f>
        <v>1711885.1</v>
      </c>
      <c r="G320" s="19">
        <f t="shared" si="117"/>
        <v>795142.9</v>
      </c>
    </row>
    <row r="321" spans="1:7" ht="47.25" outlineLevel="2" x14ac:dyDescent="0.25">
      <c r="A321" s="49" t="s">
        <v>310</v>
      </c>
      <c r="B321" s="23" t="s">
        <v>56</v>
      </c>
      <c r="C321" s="3" t="s">
        <v>363</v>
      </c>
      <c r="D321" s="24">
        <v>400</v>
      </c>
      <c r="E321" s="19">
        <v>0</v>
      </c>
      <c r="F321" s="19">
        <f>99224-54064+16748.5+1658102.3-8125.7</f>
        <v>1711885.1</v>
      </c>
      <c r="G321" s="19">
        <f>7951.4+787191.5</f>
        <v>795142.9</v>
      </c>
    </row>
    <row r="322" spans="1:7" ht="31.5" outlineLevel="2" x14ac:dyDescent="0.25">
      <c r="A322" s="50" t="s">
        <v>364</v>
      </c>
      <c r="B322" s="23" t="s">
        <v>56</v>
      </c>
      <c r="C322" s="3" t="s">
        <v>365</v>
      </c>
      <c r="D322" s="3"/>
      <c r="E322" s="19">
        <f>E323</f>
        <v>34704.900000000023</v>
      </c>
      <c r="F322" s="19">
        <f t="shared" ref="F322:G322" si="118">F323</f>
        <v>307286.2</v>
      </c>
      <c r="G322" s="19">
        <f t="shared" si="118"/>
        <v>356890.30000000005</v>
      </c>
    </row>
    <row r="323" spans="1:7" ht="31.5" outlineLevel="2" x14ac:dyDescent="0.25">
      <c r="A323" s="33" t="s">
        <v>76</v>
      </c>
      <c r="B323" s="23" t="s">
        <v>56</v>
      </c>
      <c r="C323" s="3" t="s">
        <v>365</v>
      </c>
      <c r="D323" s="3">
        <v>200</v>
      </c>
      <c r="E323" s="19">
        <f>231170.2-9263.5-145127.3-2524.5-39550</f>
        <v>34704.900000000023</v>
      </c>
      <c r="F323" s="19">
        <f>35818.8+19264.3+301807.2-2976.2-46627.9</f>
        <v>307286.2</v>
      </c>
      <c r="G323" s="19">
        <f>35818.8+19264.3+301807.2</f>
        <v>356890.30000000005</v>
      </c>
    </row>
    <row r="324" spans="1:7" ht="126" outlineLevel="2" x14ac:dyDescent="0.25">
      <c r="A324" s="50" t="s">
        <v>483</v>
      </c>
      <c r="B324" s="23" t="s">
        <v>56</v>
      </c>
      <c r="C324" s="3" t="s">
        <v>366</v>
      </c>
      <c r="D324" s="3"/>
      <c r="E324" s="19">
        <f>E325</f>
        <v>43107.4</v>
      </c>
      <c r="F324" s="19">
        <f t="shared" ref="F324:G324" si="119">F325</f>
        <v>0</v>
      </c>
      <c r="G324" s="19">
        <f t="shared" si="119"/>
        <v>0</v>
      </c>
    </row>
    <row r="325" spans="1:7" ht="47.25" outlineLevel="2" x14ac:dyDescent="0.25">
      <c r="A325" s="49" t="s">
        <v>310</v>
      </c>
      <c r="B325" s="23" t="s">
        <v>56</v>
      </c>
      <c r="C325" s="3" t="s">
        <v>366</v>
      </c>
      <c r="D325" s="3">
        <v>400</v>
      </c>
      <c r="E325" s="19">
        <v>43107.4</v>
      </c>
      <c r="F325" s="19">
        <v>0</v>
      </c>
      <c r="G325" s="19">
        <v>0</v>
      </c>
    </row>
    <row r="326" spans="1:7" ht="63" outlineLevel="2" x14ac:dyDescent="0.25">
      <c r="A326" s="50" t="s">
        <v>367</v>
      </c>
      <c r="B326" s="23" t="s">
        <v>56</v>
      </c>
      <c r="C326" s="3" t="s">
        <v>368</v>
      </c>
      <c r="D326" s="3"/>
      <c r="E326" s="19">
        <f>E327</f>
        <v>18250</v>
      </c>
      <c r="F326" s="19">
        <f t="shared" ref="F326:G326" si="120">F327</f>
        <v>0</v>
      </c>
      <c r="G326" s="19">
        <f t="shared" si="120"/>
        <v>0</v>
      </c>
    </row>
    <row r="327" spans="1:7" ht="31.5" outlineLevel="2" x14ac:dyDescent="0.25">
      <c r="A327" s="33" t="s">
        <v>76</v>
      </c>
      <c r="B327" s="23" t="s">
        <v>56</v>
      </c>
      <c r="C327" s="3" t="s">
        <v>368</v>
      </c>
      <c r="D327" s="3">
        <v>200</v>
      </c>
      <c r="E327" s="19">
        <f>25098.5-410.9-6437.6</f>
        <v>18250</v>
      </c>
      <c r="F327" s="19">
        <v>0</v>
      </c>
      <c r="G327" s="19">
        <v>0</v>
      </c>
    </row>
    <row r="328" spans="1:7" ht="63" outlineLevel="2" x14ac:dyDescent="0.25">
      <c r="A328" s="50" t="s">
        <v>369</v>
      </c>
      <c r="B328" s="23" t="s">
        <v>56</v>
      </c>
      <c r="C328" s="3" t="s">
        <v>370</v>
      </c>
      <c r="D328" s="3"/>
      <c r="E328" s="19">
        <f>E329</f>
        <v>46214.2</v>
      </c>
      <c r="F328" s="19">
        <f t="shared" ref="F328:G328" si="121">F329</f>
        <v>0</v>
      </c>
      <c r="G328" s="19">
        <f t="shared" si="121"/>
        <v>0</v>
      </c>
    </row>
    <row r="329" spans="1:7" ht="31.5" outlineLevel="2" x14ac:dyDescent="0.25">
      <c r="A329" s="33" t="s">
        <v>76</v>
      </c>
      <c r="B329" s="23" t="s">
        <v>56</v>
      </c>
      <c r="C329" s="3" t="s">
        <v>370</v>
      </c>
      <c r="D329" s="3">
        <v>200</v>
      </c>
      <c r="E329" s="19">
        <f>34315.1+713.9+11185.2</f>
        <v>46214.2</v>
      </c>
      <c r="F329" s="19">
        <v>0</v>
      </c>
      <c r="G329" s="19">
        <v>0</v>
      </c>
    </row>
    <row r="330" spans="1:7" ht="94.5" outlineLevel="2" x14ac:dyDescent="0.25">
      <c r="A330" s="22" t="s">
        <v>579</v>
      </c>
      <c r="B330" s="18" t="s">
        <v>56</v>
      </c>
      <c r="C330" s="18" t="s">
        <v>582</v>
      </c>
      <c r="D330" s="18"/>
      <c r="E330" s="19">
        <f>E331</f>
        <v>15874.6</v>
      </c>
      <c r="F330" s="19">
        <f t="shared" ref="F330:G330" si="122">F331</f>
        <v>0</v>
      </c>
      <c r="G330" s="19">
        <f t="shared" si="122"/>
        <v>0</v>
      </c>
    </row>
    <row r="331" spans="1:7" ht="47.25" outlineLevel="2" x14ac:dyDescent="0.25">
      <c r="A331" s="22" t="s">
        <v>310</v>
      </c>
      <c r="B331" s="18" t="s">
        <v>56</v>
      </c>
      <c r="C331" s="18" t="s">
        <v>582</v>
      </c>
      <c r="D331" s="18" t="s">
        <v>465</v>
      </c>
      <c r="E331" s="19">
        <f>952.5+14922.1</f>
        <v>15874.6</v>
      </c>
      <c r="F331" s="19">
        <v>0</v>
      </c>
      <c r="G331" s="19">
        <v>0</v>
      </c>
    </row>
    <row r="332" spans="1:7" ht="63" outlineLevel="2" x14ac:dyDescent="0.25">
      <c r="A332" s="22" t="s">
        <v>580</v>
      </c>
      <c r="B332" s="18" t="s">
        <v>56</v>
      </c>
      <c r="C332" s="18" t="s">
        <v>583</v>
      </c>
      <c r="D332" s="18"/>
      <c r="E332" s="19">
        <f>E333</f>
        <v>7339</v>
      </c>
      <c r="F332" s="19">
        <f t="shared" ref="F332:G332" si="123">F333</f>
        <v>0</v>
      </c>
      <c r="G332" s="19">
        <f t="shared" si="123"/>
        <v>0</v>
      </c>
    </row>
    <row r="333" spans="1:7" ht="31.5" outlineLevel="2" x14ac:dyDescent="0.25">
      <c r="A333" s="22" t="s">
        <v>76</v>
      </c>
      <c r="B333" s="18" t="s">
        <v>56</v>
      </c>
      <c r="C333" s="18" t="s">
        <v>583</v>
      </c>
      <c r="D333" s="18" t="s">
        <v>39</v>
      </c>
      <c r="E333" s="19">
        <f>440.3+6898.7</f>
        <v>7339</v>
      </c>
      <c r="F333" s="19">
        <v>0</v>
      </c>
      <c r="G333" s="19">
        <v>0</v>
      </c>
    </row>
    <row r="334" spans="1:7" ht="63" outlineLevel="2" x14ac:dyDescent="0.25">
      <c r="A334" s="22" t="s">
        <v>581</v>
      </c>
      <c r="B334" s="18" t="s">
        <v>56</v>
      </c>
      <c r="C334" s="18" t="s">
        <v>584</v>
      </c>
      <c r="D334" s="18"/>
      <c r="E334" s="19">
        <f>E335</f>
        <v>46337.9</v>
      </c>
      <c r="F334" s="19">
        <f t="shared" ref="F334:G334" si="124">F335</f>
        <v>0</v>
      </c>
      <c r="G334" s="19">
        <f t="shared" si="124"/>
        <v>0</v>
      </c>
    </row>
    <row r="335" spans="1:7" ht="31.5" outlineLevel="2" x14ac:dyDescent="0.25">
      <c r="A335" s="22" t="s">
        <v>76</v>
      </c>
      <c r="B335" s="18" t="s">
        <v>56</v>
      </c>
      <c r="C335" s="18" t="s">
        <v>584</v>
      </c>
      <c r="D335" s="18" t="s">
        <v>39</v>
      </c>
      <c r="E335" s="19">
        <f>2780.3+43557.6</f>
        <v>46337.9</v>
      </c>
      <c r="F335" s="19">
        <v>0</v>
      </c>
      <c r="G335" s="19">
        <v>0</v>
      </c>
    </row>
    <row r="336" spans="1:7" ht="63" outlineLevel="2" x14ac:dyDescent="0.25">
      <c r="A336" s="22" t="s">
        <v>585</v>
      </c>
      <c r="B336" s="18" t="s">
        <v>56</v>
      </c>
      <c r="C336" s="18" t="s">
        <v>588</v>
      </c>
      <c r="D336" s="18"/>
      <c r="E336" s="19">
        <f>E337</f>
        <v>2845.9</v>
      </c>
      <c r="F336" s="19">
        <f t="shared" ref="F336:G336" si="125">F337</f>
        <v>0</v>
      </c>
      <c r="G336" s="19">
        <f t="shared" si="125"/>
        <v>0</v>
      </c>
    </row>
    <row r="337" spans="1:7" ht="31.5" outlineLevel="2" x14ac:dyDescent="0.25">
      <c r="A337" s="22" t="s">
        <v>76</v>
      </c>
      <c r="B337" s="18" t="s">
        <v>56</v>
      </c>
      <c r="C337" s="18" t="s">
        <v>588</v>
      </c>
      <c r="D337" s="18" t="s">
        <v>39</v>
      </c>
      <c r="E337" s="19">
        <f>170.8+2675.1</f>
        <v>2845.9</v>
      </c>
      <c r="F337" s="19">
        <v>0</v>
      </c>
      <c r="G337" s="19">
        <v>0</v>
      </c>
    </row>
    <row r="338" spans="1:7" ht="78.75" outlineLevel="2" x14ac:dyDescent="0.25">
      <c r="A338" s="22" t="s">
        <v>586</v>
      </c>
      <c r="B338" s="18" t="s">
        <v>56</v>
      </c>
      <c r="C338" s="18" t="s">
        <v>589</v>
      </c>
      <c r="D338" s="18"/>
      <c r="E338" s="19">
        <f>E339</f>
        <v>2315.6</v>
      </c>
      <c r="F338" s="19">
        <f t="shared" ref="F338:G338" si="126">F339</f>
        <v>0</v>
      </c>
      <c r="G338" s="19">
        <f t="shared" si="126"/>
        <v>0</v>
      </c>
    </row>
    <row r="339" spans="1:7" ht="31.5" outlineLevel="2" x14ac:dyDescent="0.25">
      <c r="A339" s="22" t="s">
        <v>76</v>
      </c>
      <c r="B339" s="18" t="s">
        <v>56</v>
      </c>
      <c r="C339" s="18" t="s">
        <v>589</v>
      </c>
      <c r="D339" s="18" t="s">
        <v>39</v>
      </c>
      <c r="E339" s="19">
        <f>138.9+2176.7</f>
        <v>2315.6</v>
      </c>
      <c r="F339" s="19">
        <v>0</v>
      </c>
      <c r="G339" s="19">
        <v>0</v>
      </c>
    </row>
    <row r="340" spans="1:7" ht="94.5" outlineLevel="2" x14ac:dyDescent="0.25">
      <c r="A340" s="22" t="s">
        <v>587</v>
      </c>
      <c r="B340" s="18" t="s">
        <v>56</v>
      </c>
      <c r="C340" s="18" t="s">
        <v>590</v>
      </c>
      <c r="D340" s="18"/>
      <c r="E340" s="19">
        <f>E341</f>
        <v>5166.8999999999996</v>
      </c>
      <c r="F340" s="19">
        <f t="shared" ref="F340:G340" si="127">F341</f>
        <v>0</v>
      </c>
      <c r="G340" s="19">
        <f t="shared" si="127"/>
        <v>0</v>
      </c>
    </row>
    <row r="341" spans="1:7" ht="31.5" outlineLevel="2" x14ac:dyDescent="0.25">
      <c r="A341" s="22" t="s">
        <v>76</v>
      </c>
      <c r="B341" s="18" t="s">
        <v>56</v>
      </c>
      <c r="C341" s="18" t="s">
        <v>590</v>
      </c>
      <c r="D341" s="18" t="s">
        <v>39</v>
      </c>
      <c r="E341" s="19">
        <f>310+4856.9</f>
        <v>5166.8999999999996</v>
      </c>
      <c r="F341" s="19">
        <v>0</v>
      </c>
      <c r="G341" s="19">
        <v>0</v>
      </c>
    </row>
    <row r="342" spans="1:7" ht="63" outlineLevel="2" x14ac:dyDescent="0.25">
      <c r="A342" s="22" t="s">
        <v>591</v>
      </c>
      <c r="B342" s="18" t="s">
        <v>56</v>
      </c>
      <c r="C342" s="18" t="s">
        <v>593</v>
      </c>
      <c r="D342" s="18"/>
      <c r="E342" s="19">
        <f>E343</f>
        <v>1916.9</v>
      </c>
      <c r="F342" s="19">
        <f t="shared" ref="F342:G342" si="128">F343</f>
        <v>0</v>
      </c>
      <c r="G342" s="19">
        <f t="shared" si="128"/>
        <v>0</v>
      </c>
    </row>
    <row r="343" spans="1:7" ht="31.5" outlineLevel="2" x14ac:dyDescent="0.25">
      <c r="A343" s="22" t="s">
        <v>76</v>
      </c>
      <c r="B343" s="18" t="s">
        <v>56</v>
      </c>
      <c r="C343" s="18" t="s">
        <v>593</v>
      </c>
      <c r="D343" s="18" t="s">
        <v>39</v>
      </c>
      <c r="E343" s="19">
        <f>115+1801.9</f>
        <v>1916.9</v>
      </c>
      <c r="F343" s="19">
        <v>0</v>
      </c>
      <c r="G343" s="19">
        <v>0</v>
      </c>
    </row>
    <row r="344" spans="1:7" ht="78.75" outlineLevel="2" x14ac:dyDescent="0.25">
      <c r="A344" s="22" t="s">
        <v>592</v>
      </c>
      <c r="B344" s="18" t="s">
        <v>56</v>
      </c>
      <c r="C344" s="18" t="s">
        <v>594</v>
      </c>
      <c r="D344" s="18"/>
      <c r="E344" s="19">
        <f>E345</f>
        <v>221.10000000000002</v>
      </c>
      <c r="F344" s="19">
        <f t="shared" ref="F344:G344" si="129">F345</f>
        <v>0</v>
      </c>
      <c r="G344" s="19">
        <f t="shared" si="129"/>
        <v>0</v>
      </c>
    </row>
    <row r="345" spans="1:7" ht="31.5" outlineLevel="2" x14ac:dyDescent="0.25">
      <c r="A345" s="22" t="s">
        <v>76</v>
      </c>
      <c r="B345" s="18" t="s">
        <v>56</v>
      </c>
      <c r="C345" s="18" t="s">
        <v>594</v>
      </c>
      <c r="D345" s="18" t="s">
        <v>39</v>
      </c>
      <c r="E345" s="19">
        <f>13.3+207.8</f>
        <v>221.10000000000002</v>
      </c>
      <c r="F345" s="19">
        <v>0</v>
      </c>
      <c r="G345" s="19">
        <v>0</v>
      </c>
    </row>
    <row r="346" spans="1:7" ht="78.75" outlineLevel="2" x14ac:dyDescent="0.25">
      <c r="A346" s="22" t="s">
        <v>595</v>
      </c>
      <c r="B346" s="18" t="s">
        <v>56</v>
      </c>
      <c r="C346" s="18" t="s">
        <v>599</v>
      </c>
      <c r="D346" s="18"/>
      <c r="E346" s="19">
        <f>E347</f>
        <v>19761.8</v>
      </c>
      <c r="F346" s="19">
        <f t="shared" ref="F346:G346" si="130">F347</f>
        <v>0</v>
      </c>
      <c r="G346" s="19">
        <f t="shared" si="130"/>
        <v>0</v>
      </c>
    </row>
    <row r="347" spans="1:7" ht="31.5" outlineLevel="2" x14ac:dyDescent="0.25">
      <c r="A347" s="22" t="s">
        <v>76</v>
      </c>
      <c r="B347" s="18" t="s">
        <v>56</v>
      </c>
      <c r="C347" s="18" t="s">
        <v>599</v>
      </c>
      <c r="D347" s="18" t="s">
        <v>39</v>
      </c>
      <c r="E347" s="19">
        <f>1185.7+18576.1</f>
        <v>19761.8</v>
      </c>
      <c r="F347" s="19">
        <v>0</v>
      </c>
      <c r="G347" s="19">
        <v>0</v>
      </c>
    </row>
    <row r="348" spans="1:7" ht="63" outlineLevel="2" x14ac:dyDescent="0.25">
      <c r="A348" s="22" t="s">
        <v>596</v>
      </c>
      <c r="B348" s="18" t="s">
        <v>56</v>
      </c>
      <c r="C348" s="18" t="s">
        <v>600</v>
      </c>
      <c r="D348" s="18"/>
      <c r="E348" s="19">
        <f>E349</f>
        <v>37054.300000000003</v>
      </c>
      <c r="F348" s="19">
        <f t="shared" ref="F348:G348" si="131">F349</f>
        <v>0</v>
      </c>
      <c r="G348" s="19">
        <f t="shared" si="131"/>
        <v>0</v>
      </c>
    </row>
    <row r="349" spans="1:7" ht="31.5" outlineLevel="2" x14ac:dyDescent="0.25">
      <c r="A349" s="22" t="s">
        <v>76</v>
      </c>
      <c r="B349" s="18" t="s">
        <v>56</v>
      </c>
      <c r="C349" s="18" t="s">
        <v>600</v>
      </c>
      <c r="D349" s="18" t="s">
        <v>39</v>
      </c>
      <c r="E349" s="19">
        <f>2223.3+34831</f>
        <v>37054.300000000003</v>
      </c>
      <c r="F349" s="19">
        <v>0</v>
      </c>
      <c r="G349" s="19">
        <v>0</v>
      </c>
    </row>
    <row r="350" spans="1:7" ht="63" outlineLevel="2" x14ac:dyDescent="0.25">
      <c r="A350" s="22" t="s">
        <v>597</v>
      </c>
      <c r="B350" s="18" t="s">
        <v>56</v>
      </c>
      <c r="C350" s="18" t="s">
        <v>601</v>
      </c>
      <c r="D350" s="18"/>
      <c r="E350" s="19">
        <f>E351</f>
        <v>3635.7999999999997</v>
      </c>
      <c r="F350" s="19">
        <f t="shared" ref="F350:G350" si="132">F351</f>
        <v>0</v>
      </c>
      <c r="G350" s="19">
        <f t="shared" si="132"/>
        <v>0</v>
      </c>
    </row>
    <row r="351" spans="1:7" ht="31.5" outlineLevel="2" x14ac:dyDescent="0.25">
      <c r="A351" s="22" t="s">
        <v>76</v>
      </c>
      <c r="B351" s="18" t="s">
        <v>56</v>
      </c>
      <c r="C351" s="18" t="s">
        <v>601</v>
      </c>
      <c r="D351" s="18" t="s">
        <v>39</v>
      </c>
      <c r="E351" s="19">
        <f>218.2+3417.6</f>
        <v>3635.7999999999997</v>
      </c>
      <c r="F351" s="19">
        <v>0</v>
      </c>
      <c r="G351" s="19">
        <v>0</v>
      </c>
    </row>
    <row r="352" spans="1:7" ht="63" outlineLevel="2" x14ac:dyDescent="0.25">
      <c r="A352" s="22" t="s">
        <v>598</v>
      </c>
      <c r="B352" s="18" t="s">
        <v>56</v>
      </c>
      <c r="C352" s="18" t="s">
        <v>602</v>
      </c>
      <c r="D352" s="18"/>
      <c r="E352" s="19">
        <f>E353</f>
        <v>6567.14</v>
      </c>
      <c r="F352" s="19">
        <f t="shared" ref="F352:G352" si="133">F353</f>
        <v>0</v>
      </c>
      <c r="G352" s="19">
        <f t="shared" si="133"/>
        <v>0</v>
      </c>
    </row>
    <row r="353" spans="1:7" ht="31.5" outlineLevel="2" x14ac:dyDescent="0.25">
      <c r="A353" s="22" t="s">
        <v>76</v>
      </c>
      <c r="B353" s="18" t="s">
        <v>56</v>
      </c>
      <c r="C353" s="18" t="s">
        <v>602</v>
      </c>
      <c r="D353" s="18" t="s">
        <v>39</v>
      </c>
      <c r="E353" s="19">
        <f>394+6173.14</f>
        <v>6567.14</v>
      </c>
      <c r="F353" s="19">
        <v>0</v>
      </c>
      <c r="G353" s="19">
        <v>0</v>
      </c>
    </row>
    <row r="354" spans="1:7" ht="110.25" outlineLevel="2" x14ac:dyDescent="0.25">
      <c r="A354" s="87" t="s">
        <v>716</v>
      </c>
      <c r="B354" s="76" t="s">
        <v>56</v>
      </c>
      <c r="C354" s="76" t="s">
        <v>718</v>
      </c>
      <c r="D354" s="76"/>
      <c r="E354" s="19">
        <f t="shared" ref="E354:G354" si="134">E355</f>
        <v>55696.600000000006</v>
      </c>
      <c r="F354" s="19">
        <f t="shared" si="134"/>
        <v>0</v>
      </c>
      <c r="G354" s="19">
        <f t="shared" si="134"/>
        <v>0</v>
      </c>
    </row>
    <row r="355" spans="1:7" ht="47.25" outlineLevel="2" x14ac:dyDescent="0.25">
      <c r="A355" s="77" t="s">
        <v>310</v>
      </c>
      <c r="B355" s="76" t="s">
        <v>56</v>
      </c>
      <c r="C355" s="76" t="s">
        <v>718</v>
      </c>
      <c r="D355" s="76" t="s">
        <v>465</v>
      </c>
      <c r="E355" s="19">
        <f>3341.8+52354.8</f>
        <v>55696.600000000006</v>
      </c>
      <c r="F355" s="19">
        <v>0</v>
      </c>
      <c r="G355" s="19">
        <v>0</v>
      </c>
    </row>
    <row r="356" spans="1:7" ht="78.75" outlineLevel="2" x14ac:dyDescent="0.25">
      <c r="A356" s="81" t="s">
        <v>717</v>
      </c>
      <c r="B356" s="76" t="s">
        <v>56</v>
      </c>
      <c r="C356" s="76" t="s">
        <v>719</v>
      </c>
      <c r="D356" s="76"/>
      <c r="E356" s="19">
        <f t="shared" ref="E356:G356" si="135">E357</f>
        <v>33574.400000000001</v>
      </c>
      <c r="F356" s="19">
        <f t="shared" si="135"/>
        <v>0</v>
      </c>
      <c r="G356" s="19">
        <f t="shared" si="135"/>
        <v>0</v>
      </c>
    </row>
    <row r="357" spans="1:7" ht="47.25" outlineLevel="2" x14ac:dyDescent="0.25">
      <c r="A357" s="77" t="s">
        <v>310</v>
      </c>
      <c r="B357" s="76" t="s">
        <v>56</v>
      </c>
      <c r="C357" s="76" t="s">
        <v>719</v>
      </c>
      <c r="D357" s="76" t="s">
        <v>465</v>
      </c>
      <c r="E357" s="19">
        <f>2014.5+31559.9</f>
        <v>33574.400000000001</v>
      </c>
      <c r="F357" s="19">
        <v>0</v>
      </c>
      <c r="G357" s="19">
        <v>0</v>
      </c>
    </row>
    <row r="358" spans="1:7" ht="63" outlineLevel="2" x14ac:dyDescent="0.25">
      <c r="A358" s="81" t="s">
        <v>720</v>
      </c>
      <c r="B358" s="76" t="s">
        <v>56</v>
      </c>
      <c r="C358" s="76" t="s">
        <v>724</v>
      </c>
      <c r="D358" s="76"/>
      <c r="E358" s="19">
        <f t="shared" ref="E358:G358" si="136">E359</f>
        <v>9511.9000000000015</v>
      </c>
      <c r="F358" s="19">
        <f t="shared" si="136"/>
        <v>0</v>
      </c>
      <c r="G358" s="19">
        <f t="shared" si="136"/>
        <v>0</v>
      </c>
    </row>
    <row r="359" spans="1:7" ht="47.25" outlineLevel="2" x14ac:dyDescent="0.25">
      <c r="A359" s="77" t="s">
        <v>310</v>
      </c>
      <c r="B359" s="76" t="s">
        <v>56</v>
      </c>
      <c r="C359" s="76" t="s">
        <v>724</v>
      </c>
      <c r="D359" s="76" t="s">
        <v>465</v>
      </c>
      <c r="E359" s="19">
        <f>570.7+8941.2</f>
        <v>9511.9000000000015</v>
      </c>
      <c r="F359" s="19">
        <v>0</v>
      </c>
      <c r="G359" s="19">
        <v>0</v>
      </c>
    </row>
    <row r="360" spans="1:7" ht="78.75" outlineLevel="2" x14ac:dyDescent="0.25">
      <c r="A360" s="81" t="s">
        <v>721</v>
      </c>
      <c r="B360" s="76" t="s">
        <v>56</v>
      </c>
      <c r="C360" s="76" t="s">
        <v>725</v>
      </c>
      <c r="D360" s="76"/>
      <c r="E360" s="19">
        <f t="shared" ref="E360:G360" si="137">E361</f>
        <v>0</v>
      </c>
      <c r="F360" s="19">
        <f t="shared" si="137"/>
        <v>17635.599999999999</v>
      </c>
      <c r="G360" s="19">
        <f t="shared" si="137"/>
        <v>0</v>
      </c>
    </row>
    <row r="361" spans="1:7" ht="47.25" outlineLevel="2" x14ac:dyDescent="0.25">
      <c r="A361" s="77" t="s">
        <v>310</v>
      </c>
      <c r="B361" s="76" t="s">
        <v>56</v>
      </c>
      <c r="C361" s="76" t="s">
        <v>725</v>
      </c>
      <c r="D361" s="76" t="s">
        <v>465</v>
      </c>
      <c r="E361" s="19">
        <v>0</v>
      </c>
      <c r="F361" s="19">
        <f>16577.5+1058.1</f>
        <v>17635.599999999999</v>
      </c>
      <c r="G361" s="19">
        <v>0</v>
      </c>
    </row>
    <row r="362" spans="1:7" ht="78.75" outlineLevel="2" x14ac:dyDescent="0.25">
      <c r="A362" s="81" t="s">
        <v>722</v>
      </c>
      <c r="B362" s="76" t="s">
        <v>56</v>
      </c>
      <c r="C362" s="76" t="s">
        <v>726</v>
      </c>
      <c r="D362" s="76"/>
      <c r="E362" s="19">
        <f t="shared" ref="E362:G362" si="138">E363</f>
        <v>0</v>
      </c>
      <c r="F362" s="19">
        <f t="shared" si="138"/>
        <v>31968.5</v>
      </c>
      <c r="G362" s="19">
        <f t="shared" si="138"/>
        <v>0</v>
      </c>
    </row>
    <row r="363" spans="1:7" ht="47.25" outlineLevel="2" x14ac:dyDescent="0.25">
      <c r="A363" s="77" t="s">
        <v>310</v>
      </c>
      <c r="B363" s="76" t="s">
        <v>56</v>
      </c>
      <c r="C363" s="76" t="s">
        <v>726</v>
      </c>
      <c r="D363" s="76" t="s">
        <v>465</v>
      </c>
      <c r="E363" s="19">
        <v>0</v>
      </c>
      <c r="F363" s="19">
        <f>30050.4+1918.1</f>
        <v>31968.5</v>
      </c>
      <c r="G363" s="19">
        <v>0</v>
      </c>
    </row>
    <row r="364" spans="1:7" ht="78.75" outlineLevel="2" x14ac:dyDescent="0.25">
      <c r="A364" s="81" t="s">
        <v>723</v>
      </c>
      <c r="B364" s="76" t="s">
        <v>56</v>
      </c>
      <c r="C364" s="76" t="s">
        <v>727</v>
      </c>
      <c r="D364" s="76"/>
      <c r="E364" s="19">
        <f t="shared" ref="E364:G364" si="139">E365</f>
        <v>42377.799999999996</v>
      </c>
      <c r="F364" s="19">
        <f t="shared" si="139"/>
        <v>0</v>
      </c>
      <c r="G364" s="19">
        <f t="shared" si="139"/>
        <v>0</v>
      </c>
    </row>
    <row r="365" spans="1:7" ht="47.25" outlineLevel="2" x14ac:dyDescent="0.25">
      <c r="A365" s="77" t="s">
        <v>310</v>
      </c>
      <c r="B365" s="76" t="s">
        <v>56</v>
      </c>
      <c r="C365" s="76" t="s">
        <v>727</v>
      </c>
      <c r="D365" s="76" t="s">
        <v>465</v>
      </c>
      <c r="E365" s="19">
        <f>2542.7+39835.1</f>
        <v>42377.799999999996</v>
      </c>
      <c r="F365" s="19">
        <v>0</v>
      </c>
      <c r="G365" s="19">
        <v>0</v>
      </c>
    </row>
    <row r="366" spans="1:7" ht="47.25" outlineLevel="2" x14ac:dyDescent="0.25">
      <c r="A366" s="40" t="s">
        <v>557</v>
      </c>
      <c r="B366" s="18" t="s">
        <v>56</v>
      </c>
      <c r="C366" s="18" t="s">
        <v>558</v>
      </c>
      <c r="D366" s="18"/>
      <c r="E366" s="19">
        <f>E367</f>
        <v>8096.1</v>
      </c>
      <c r="F366" s="19">
        <f t="shared" ref="F366:G367" si="140">F367</f>
        <v>0</v>
      </c>
      <c r="G366" s="19">
        <f t="shared" si="140"/>
        <v>0</v>
      </c>
    </row>
    <row r="367" spans="1:7" ht="31.5" outlineLevel="2" x14ac:dyDescent="0.25">
      <c r="A367" s="48" t="s">
        <v>400</v>
      </c>
      <c r="B367" s="18" t="s">
        <v>56</v>
      </c>
      <c r="C367" s="18" t="s">
        <v>559</v>
      </c>
      <c r="D367" s="18"/>
      <c r="E367" s="19">
        <f>E368</f>
        <v>8096.1</v>
      </c>
      <c r="F367" s="19">
        <f t="shared" si="140"/>
        <v>0</v>
      </c>
      <c r="G367" s="19">
        <f t="shared" si="140"/>
        <v>0</v>
      </c>
    </row>
    <row r="368" spans="1:7" outlineLevel="2" x14ac:dyDescent="0.25">
      <c r="A368" s="48" t="s">
        <v>33</v>
      </c>
      <c r="B368" s="18" t="s">
        <v>56</v>
      </c>
      <c r="C368" s="18" t="s">
        <v>559</v>
      </c>
      <c r="D368" s="18" t="s">
        <v>532</v>
      </c>
      <c r="E368" s="19">
        <f>485.8+7610.3</f>
        <v>8096.1</v>
      </c>
      <c r="F368" s="19">
        <v>0</v>
      </c>
      <c r="G368" s="19">
        <v>0</v>
      </c>
    </row>
    <row r="369" spans="1:7" outlineLevel="2" x14ac:dyDescent="0.25">
      <c r="A369" s="33" t="s">
        <v>144</v>
      </c>
      <c r="B369" s="30" t="s">
        <v>56</v>
      </c>
      <c r="C369" s="30" t="s">
        <v>83</v>
      </c>
      <c r="D369" s="24"/>
      <c r="E369" s="19">
        <f>E370+E380</f>
        <v>448557.19999999995</v>
      </c>
      <c r="F369" s="19">
        <f>F370+F380</f>
        <v>471812.30000000005</v>
      </c>
      <c r="G369" s="19">
        <f>G370+G380</f>
        <v>493489.5</v>
      </c>
    </row>
    <row r="370" spans="1:7" ht="63" outlineLevel="2" x14ac:dyDescent="0.25">
      <c r="A370" s="33" t="s">
        <v>390</v>
      </c>
      <c r="B370" s="30" t="s">
        <v>56</v>
      </c>
      <c r="C370" s="30" t="s">
        <v>391</v>
      </c>
      <c r="D370" s="24"/>
      <c r="E370" s="19">
        <f>E2917+E376+E378+E373+E371</f>
        <v>432154.1</v>
      </c>
      <c r="F370" s="19">
        <f>F2917+F376+F378+F373+F371</f>
        <v>454753.4</v>
      </c>
      <c r="G370" s="19">
        <f>G2917+G376+G378+G373+G371</f>
        <v>475748.6</v>
      </c>
    </row>
    <row r="371" spans="1:7" ht="63" outlineLevel="2" x14ac:dyDescent="0.25">
      <c r="A371" s="48" t="s">
        <v>392</v>
      </c>
      <c r="B371" s="23" t="s">
        <v>56</v>
      </c>
      <c r="C371" s="23" t="s">
        <v>393</v>
      </c>
      <c r="D371" s="24"/>
      <c r="E371" s="19">
        <f>E372</f>
        <v>4371.1000000000004</v>
      </c>
      <c r="F371" s="19">
        <f t="shared" ref="F371:G371" si="141">F372</f>
        <v>0</v>
      </c>
      <c r="G371" s="19">
        <f t="shared" si="141"/>
        <v>0</v>
      </c>
    </row>
    <row r="372" spans="1:7" ht="31.5" outlineLevel="2" x14ac:dyDescent="0.25">
      <c r="A372" s="29" t="s">
        <v>76</v>
      </c>
      <c r="B372" s="23" t="s">
        <v>56</v>
      </c>
      <c r="C372" s="23" t="s">
        <v>393</v>
      </c>
      <c r="D372" s="24">
        <v>200</v>
      </c>
      <c r="E372" s="19">
        <f>1322+555.8+293.5+2199.8</f>
        <v>4371.1000000000004</v>
      </c>
      <c r="F372" s="19">
        <v>0</v>
      </c>
      <c r="G372" s="19">
        <v>0</v>
      </c>
    </row>
    <row r="373" spans="1:7" ht="110.25" outlineLevel="2" x14ac:dyDescent="0.25">
      <c r="A373" s="48" t="s">
        <v>396</v>
      </c>
      <c r="B373" s="18" t="s">
        <v>56</v>
      </c>
      <c r="C373" s="18" t="s">
        <v>616</v>
      </c>
      <c r="D373" s="18"/>
      <c r="E373" s="19">
        <f>SUM(E374:E375)</f>
        <v>231052.6</v>
      </c>
      <c r="F373" s="19">
        <f t="shared" ref="F373:G373" si="142">SUM(F374:F375)</f>
        <v>246313.9</v>
      </c>
      <c r="G373" s="19">
        <f t="shared" si="142"/>
        <v>255918.4</v>
      </c>
    </row>
    <row r="374" spans="1:7" ht="31.5" outlineLevel="2" x14ac:dyDescent="0.25">
      <c r="A374" s="40" t="s">
        <v>76</v>
      </c>
      <c r="B374" s="18" t="s">
        <v>56</v>
      </c>
      <c r="C374" s="18" t="s">
        <v>616</v>
      </c>
      <c r="D374" s="18" t="s">
        <v>39</v>
      </c>
      <c r="E374" s="19">
        <v>44.9</v>
      </c>
      <c r="F374" s="19">
        <v>44.9</v>
      </c>
      <c r="G374" s="19">
        <v>44.9</v>
      </c>
    </row>
    <row r="375" spans="1:7" outlineLevel="2" x14ac:dyDescent="0.25">
      <c r="A375" s="48" t="s">
        <v>33</v>
      </c>
      <c r="B375" s="18" t="s">
        <v>56</v>
      </c>
      <c r="C375" s="18" t="s">
        <v>616</v>
      </c>
      <c r="D375" s="18" t="s">
        <v>532</v>
      </c>
      <c r="E375" s="19">
        <v>231007.7</v>
      </c>
      <c r="F375" s="19">
        <v>246269</v>
      </c>
      <c r="G375" s="19">
        <v>255873.5</v>
      </c>
    </row>
    <row r="376" spans="1:7" ht="94.5" outlineLevel="2" x14ac:dyDescent="0.25">
      <c r="A376" s="48" t="s">
        <v>395</v>
      </c>
      <c r="B376" s="18" t="s">
        <v>56</v>
      </c>
      <c r="C376" s="18" t="s">
        <v>560</v>
      </c>
      <c r="D376" s="18"/>
      <c r="E376" s="19">
        <f>E377</f>
        <v>4457</v>
      </c>
      <c r="F376" s="19">
        <f t="shared" ref="F376:G376" si="143">F377</f>
        <v>4938.2</v>
      </c>
      <c r="G376" s="19">
        <f t="shared" si="143"/>
        <v>5135.7000000000007</v>
      </c>
    </row>
    <row r="377" spans="1:7" ht="31.5" outlineLevel="2" x14ac:dyDescent="0.25">
      <c r="A377" s="40" t="s">
        <v>20</v>
      </c>
      <c r="B377" s="18" t="s">
        <v>56</v>
      </c>
      <c r="C377" s="18" t="s">
        <v>560</v>
      </c>
      <c r="D377" s="18" t="s">
        <v>561</v>
      </c>
      <c r="E377" s="19">
        <f>4.5+262.9+4189.6</f>
        <v>4457</v>
      </c>
      <c r="F377" s="19">
        <f>296.3+4641.9</f>
        <v>4938.2</v>
      </c>
      <c r="G377" s="19">
        <f>308.1+4827.6</f>
        <v>5135.7000000000007</v>
      </c>
    </row>
    <row r="378" spans="1:7" ht="63" outlineLevel="2" x14ac:dyDescent="0.25">
      <c r="A378" s="48" t="s">
        <v>394</v>
      </c>
      <c r="B378" s="18" t="s">
        <v>56</v>
      </c>
      <c r="C378" s="18" t="s">
        <v>562</v>
      </c>
      <c r="D378" s="18"/>
      <c r="E378" s="19">
        <f>E379</f>
        <v>192273.4</v>
      </c>
      <c r="F378" s="19">
        <f t="shared" ref="F378:G378" si="144">F379</f>
        <v>203501.30000000002</v>
      </c>
      <c r="G378" s="19">
        <f t="shared" si="144"/>
        <v>214694.5</v>
      </c>
    </row>
    <row r="379" spans="1:7" outlineLevel="2" x14ac:dyDescent="0.25">
      <c r="A379" s="48" t="s">
        <v>33</v>
      </c>
      <c r="B379" s="18" t="s">
        <v>56</v>
      </c>
      <c r="C379" s="18" t="s">
        <v>562</v>
      </c>
      <c r="D379" s="18" t="s">
        <v>532</v>
      </c>
      <c r="E379" s="19">
        <f>1327.6+10208.8+180737</f>
        <v>192273.4</v>
      </c>
      <c r="F379" s="19">
        <f>12210.1+191291.2</f>
        <v>203501.30000000002</v>
      </c>
      <c r="G379" s="19">
        <f>12881.7+201812.8</f>
        <v>214694.5</v>
      </c>
    </row>
    <row r="380" spans="1:7" ht="47.25" outlineLevel="2" x14ac:dyDescent="0.25">
      <c r="A380" s="33" t="s">
        <v>384</v>
      </c>
      <c r="B380" s="30" t="s">
        <v>56</v>
      </c>
      <c r="C380" s="30" t="s">
        <v>385</v>
      </c>
      <c r="D380" s="24"/>
      <c r="E380" s="19">
        <f>E381+E383</f>
        <v>16403.100000000002</v>
      </c>
      <c r="F380" s="19">
        <f t="shared" ref="F380:G380" si="145">F381+F383</f>
        <v>17058.900000000001</v>
      </c>
      <c r="G380" s="19">
        <f t="shared" si="145"/>
        <v>17740.900000000001</v>
      </c>
    </row>
    <row r="381" spans="1:7" ht="47.25" outlineLevel="2" x14ac:dyDescent="0.25">
      <c r="A381" s="2" t="s">
        <v>397</v>
      </c>
      <c r="B381" s="23" t="s">
        <v>56</v>
      </c>
      <c r="C381" s="23" t="s">
        <v>398</v>
      </c>
      <c r="D381" s="24"/>
      <c r="E381" s="19">
        <f>E382</f>
        <v>16395.2</v>
      </c>
      <c r="F381" s="19">
        <f t="shared" ref="F381:G381" si="146">F382</f>
        <v>17051</v>
      </c>
      <c r="G381" s="19">
        <f t="shared" si="146"/>
        <v>17733</v>
      </c>
    </row>
    <row r="382" spans="1:7" outlineLevel="2" x14ac:dyDescent="0.25">
      <c r="A382" s="48" t="s">
        <v>33</v>
      </c>
      <c r="B382" s="23" t="s">
        <v>56</v>
      </c>
      <c r="C382" s="23" t="s">
        <v>398</v>
      </c>
      <c r="D382" s="24">
        <v>800</v>
      </c>
      <c r="E382" s="19">
        <v>16395.2</v>
      </c>
      <c r="F382" s="19">
        <v>17051</v>
      </c>
      <c r="G382" s="19">
        <v>17733</v>
      </c>
    </row>
    <row r="383" spans="1:7" ht="82.5" customHeight="1" outlineLevel="2" x14ac:dyDescent="0.25">
      <c r="A383" s="103" t="s">
        <v>752</v>
      </c>
      <c r="B383" s="23" t="s">
        <v>56</v>
      </c>
      <c r="C383" s="23" t="s">
        <v>399</v>
      </c>
      <c r="D383" s="24"/>
      <c r="E383" s="19">
        <f>E384</f>
        <v>7.9</v>
      </c>
      <c r="F383" s="19">
        <f t="shared" ref="F383:G383" si="147">F384</f>
        <v>7.9</v>
      </c>
      <c r="G383" s="19">
        <f t="shared" si="147"/>
        <v>7.9</v>
      </c>
    </row>
    <row r="384" spans="1:7" outlineLevel="2" x14ac:dyDescent="0.25">
      <c r="A384" s="48" t="s">
        <v>33</v>
      </c>
      <c r="B384" s="23" t="s">
        <v>56</v>
      </c>
      <c r="C384" s="23" t="s">
        <v>399</v>
      </c>
      <c r="D384" s="24">
        <v>800</v>
      </c>
      <c r="E384" s="19">
        <v>7.9</v>
      </c>
      <c r="F384" s="19">
        <v>7.9</v>
      </c>
      <c r="G384" s="19">
        <v>7.9</v>
      </c>
    </row>
    <row r="385" spans="1:7" outlineLevel="1" x14ac:dyDescent="0.25">
      <c r="A385" s="40" t="s">
        <v>57</v>
      </c>
      <c r="B385" s="23" t="s">
        <v>58</v>
      </c>
      <c r="D385" s="3"/>
      <c r="E385" s="19">
        <f>E386</f>
        <v>1325954.7000000002</v>
      </c>
      <c r="F385" s="19">
        <f t="shared" ref="F385:G385" si="148">F386</f>
        <v>652938.5</v>
      </c>
      <c r="G385" s="19">
        <f t="shared" si="148"/>
        <v>650465.4</v>
      </c>
    </row>
    <row r="386" spans="1:7" ht="47.25" outlineLevel="2" x14ac:dyDescent="0.25">
      <c r="A386" s="33" t="s">
        <v>371</v>
      </c>
      <c r="B386" s="23" t="s">
        <v>58</v>
      </c>
      <c r="C386" s="3" t="s">
        <v>372</v>
      </c>
      <c r="D386" s="24"/>
      <c r="E386" s="19">
        <f>E395+E419+E387</f>
        <v>1325954.7000000002</v>
      </c>
      <c r="F386" s="19">
        <f t="shared" ref="F386:G386" si="149">F395+F419+F387</f>
        <v>652938.5</v>
      </c>
      <c r="G386" s="19">
        <f t="shared" si="149"/>
        <v>650465.4</v>
      </c>
    </row>
    <row r="387" spans="1:7" outlineLevel="2" x14ac:dyDescent="0.25">
      <c r="A387" s="20" t="s">
        <v>228</v>
      </c>
      <c r="B387" s="18" t="s">
        <v>58</v>
      </c>
      <c r="C387" s="18" t="s">
        <v>535</v>
      </c>
      <c r="D387" s="18"/>
      <c r="E387" s="19">
        <f>E388</f>
        <v>419744.1</v>
      </c>
      <c r="F387" s="19">
        <f t="shared" ref="F387:G391" si="150">F388</f>
        <v>108975.9</v>
      </c>
      <c r="G387" s="19">
        <f t="shared" si="150"/>
        <v>104473.4</v>
      </c>
    </row>
    <row r="388" spans="1:7" ht="47.25" outlineLevel="2" x14ac:dyDescent="0.25">
      <c r="A388" s="20" t="s">
        <v>533</v>
      </c>
      <c r="B388" s="18" t="s">
        <v>58</v>
      </c>
      <c r="C388" s="18" t="s">
        <v>536</v>
      </c>
      <c r="D388" s="18"/>
      <c r="E388" s="19">
        <f>E391+E389+E393</f>
        <v>419744.1</v>
      </c>
      <c r="F388" s="19">
        <f t="shared" ref="F388:G388" si="151">F391+F389</f>
        <v>108975.9</v>
      </c>
      <c r="G388" s="19">
        <f t="shared" si="151"/>
        <v>104473.4</v>
      </c>
    </row>
    <row r="389" spans="1:7" ht="78.75" outlineLevel="2" x14ac:dyDescent="0.25">
      <c r="A389" s="29" t="s">
        <v>538</v>
      </c>
      <c r="B389" s="18" t="s">
        <v>58</v>
      </c>
      <c r="C389" s="18" t="s">
        <v>539</v>
      </c>
      <c r="D389" s="18"/>
      <c r="E389" s="19">
        <f>E390</f>
        <v>306091.2</v>
      </c>
      <c r="F389" s="19">
        <f t="shared" ref="F389:G389" si="152">F390</f>
        <v>0</v>
      </c>
      <c r="G389" s="19">
        <f t="shared" si="152"/>
        <v>0</v>
      </c>
    </row>
    <row r="390" spans="1:7" ht="47.25" outlineLevel="2" x14ac:dyDescent="0.25">
      <c r="A390" s="29" t="s">
        <v>94</v>
      </c>
      <c r="B390" s="18" t="s">
        <v>58</v>
      </c>
      <c r="C390" s="18" t="s">
        <v>539</v>
      </c>
      <c r="D390" s="18" t="s">
        <v>95</v>
      </c>
      <c r="E390" s="19">
        <f>3060.9+303030.3</f>
        <v>306091.2</v>
      </c>
      <c r="F390" s="19">
        <v>0</v>
      </c>
      <c r="G390" s="19">
        <v>0</v>
      </c>
    </row>
    <row r="391" spans="1:7" ht="31.5" outlineLevel="2" x14ac:dyDescent="0.25">
      <c r="A391" s="22" t="s">
        <v>534</v>
      </c>
      <c r="B391" s="18" t="s">
        <v>58</v>
      </c>
      <c r="C391" s="18" t="s">
        <v>537</v>
      </c>
      <c r="D391" s="18"/>
      <c r="E391" s="19">
        <f t="shared" ref="E391" si="153">E392</f>
        <v>113495.4</v>
      </c>
      <c r="F391" s="19">
        <f t="shared" si="150"/>
        <v>108975.9</v>
      </c>
      <c r="G391" s="19">
        <f t="shared" si="150"/>
        <v>104473.4</v>
      </c>
    </row>
    <row r="392" spans="1:7" ht="31.5" outlineLevel="2" x14ac:dyDescent="0.25">
      <c r="A392" s="22" t="s">
        <v>76</v>
      </c>
      <c r="B392" s="18" t="s">
        <v>58</v>
      </c>
      <c r="C392" s="18" t="s">
        <v>537</v>
      </c>
      <c r="D392" s="18" t="s">
        <v>39</v>
      </c>
      <c r="E392" s="19">
        <f>1135+112360.4</f>
        <v>113495.4</v>
      </c>
      <c r="F392" s="19">
        <f>1089.7+107886.2</f>
        <v>108975.9</v>
      </c>
      <c r="G392" s="19">
        <f>1044.7+103428.7</f>
        <v>104473.4</v>
      </c>
    </row>
    <row r="393" spans="1:7" ht="78.75" outlineLevel="2" x14ac:dyDescent="0.25">
      <c r="A393" s="98" t="s">
        <v>538</v>
      </c>
      <c r="B393" s="99" t="s">
        <v>58</v>
      </c>
      <c r="C393" s="99" t="s">
        <v>740</v>
      </c>
      <c r="D393" s="99"/>
      <c r="E393" s="19">
        <f t="shared" ref="E393:G393" si="154">E394</f>
        <v>157.5</v>
      </c>
      <c r="F393" s="19">
        <f t="shared" si="154"/>
        <v>0</v>
      </c>
      <c r="G393" s="19">
        <f t="shared" si="154"/>
        <v>0</v>
      </c>
    </row>
    <row r="394" spans="1:7" ht="47.25" outlineLevel="2" x14ac:dyDescent="0.25">
      <c r="A394" s="98" t="s">
        <v>94</v>
      </c>
      <c r="B394" s="99" t="s">
        <v>58</v>
      </c>
      <c r="C394" s="99" t="s">
        <v>740</v>
      </c>
      <c r="D394" s="99" t="s">
        <v>95</v>
      </c>
      <c r="E394" s="19">
        <v>157.5</v>
      </c>
      <c r="F394" s="19">
        <v>0</v>
      </c>
      <c r="G394" s="19">
        <v>0</v>
      </c>
    </row>
    <row r="395" spans="1:7" ht="31.5" outlineLevel="2" x14ac:dyDescent="0.25">
      <c r="A395" s="33" t="s">
        <v>155</v>
      </c>
      <c r="B395" s="30" t="s">
        <v>58</v>
      </c>
      <c r="C395" s="30" t="s">
        <v>373</v>
      </c>
      <c r="D395" s="24"/>
      <c r="E395" s="19">
        <f>E396</f>
        <v>249741.80000000005</v>
      </c>
      <c r="F395" s="19">
        <f t="shared" ref="F395:G395" si="155">F396</f>
        <v>29800.799999999996</v>
      </c>
      <c r="G395" s="19">
        <f t="shared" si="155"/>
        <v>21276.6</v>
      </c>
    </row>
    <row r="396" spans="1:7" ht="63" outlineLevel="2" x14ac:dyDescent="0.25">
      <c r="A396" s="33" t="s">
        <v>374</v>
      </c>
      <c r="B396" s="23" t="s">
        <v>58</v>
      </c>
      <c r="C396" s="23" t="s">
        <v>375</v>
      </c>
      <c r="D396" s="24"/>
      <c r="E396" s="19">
        <f>E397+E401+E415+E417+E403+E405+E407+E409+E411+E399+E413</f>
        <v>249741.80000000005</v>
      </c>
      <c r="F396" s="19">
        <f t="shared" ref="F396:G396" si="156">F397+F401+F415+F417+F403+F405+F407+F409+F411</f>
        <v>29800.799999999996</v>
      </c>
      <c r="G396" s="19">
        <f t="shared" si="156"/>
        <v>21276.6</v>
      </c>
    </row>
    <row r="397" spans="1:7" ht="47.25" outlineLevel="2" x14ac:dyDescent="0.25">
      <c r="A397" s="34" t="s">
        <v>489</v>
      </c>
      <c r="B397" s="30" t="s">
        <v>58</v>
      </c>
      <c r="C397" s="30" t="s">
        <v>407</v>
      </c>
      <c r="D397" s="30"/>
      <c r="E397" s="19">
        <f>E398</f>
        <v>12000</v>
      </c>
      <c r="F397" s="19">
        <f t="shared" ref="F397:G397" si="157">F398</f>
        <v>0</v>
      </c>
      <c r="G397" s="19">
        <f t="shared" si="157"/>
        <v>0</v>
      </c>
    </row>
    <row r="398" spans="1:7" ht="31.5" outlineLevel="2" x14ac:dyDescent="0.25">
      <c r="A398" s="34" t="s">
        <v>76</v>
      </c>
      <c r="B398" s="30" t="s">
        <v>58</v>
      </c>
      <c r="C398" s="30" t="s">
        <v>407</v>
      </c>
      <c r="D398" s="30" t="s">
        <v>39</v>
      </c>
      <c r="E398" s="19">
        <v>12000</v>
      </c>
      <c r="F398" s="19">
        <v>0</v>
      </c>
      <c r="G398" s="19">
        <v>0</v>
      </c>
    </row>
    <row r="399" spans="1:7" ht="47.25" outlineLevel="2" x14ac:dyDescent="0.25">
      <c r="A399" s="86" t="s">
        <v>736</v>
      </c>
      <c r="B399" s="76" t="s">
        <v>58</v>
      </c>
      <c r="C399" s="76" t="s">
        <v>737</v>
      </c>
      <c r="D399" s="76"/>
      <c r="E399" s="19">
        <f t="shared" ref="E399:G399" si="158">E400</f>
        <v>303</v>
      </c>
      <c r="F399" s="19">
        <f t="shared" si="158"/>
        <v>0</v>
      </c>
      <c r="G399" s="19">
        <f t="shared" si="158"/>
        <v>0</v>
      </c>
    </row>
    <row r="400" spans="1:7" ht="31.5" outlineLevel="2" x14ac:dyDescent="0.25">
      <c r="A400" s="86" t="s">
        <v>76</v>
      </c>
      <c r="B400" s="76" t="s">
        <v>58</v>
      </c>
      <c r="C400" s="76" t="s">
        <v>737</v>
      </c>
      <c r="D400" s="76" t="s">
        <v>39</v>
      </c>
      <c r="E400" s="19">
        <v>303</v>
      </c>
      <c r="F400" s="19">
        <v>0</v>
      </c>
      <c r="G400" s="19">
        <v>0</v>
      </c>
    </row>
    <row r="401" spans="1:7" outlineLevel="2" x14ac:dyDescent="0.25">
      <c r="A401" s="33" t="s">
        <v>376</v>
      </c>
      <c r="B401" s="23" t="s">
        <v>58</v>
      </c>
      <c r="C401" s="23" t="s">
        <v>377</v>
      </c>
      <c r="D401" s="3"/>
      <c r="E401" s="19">
        <f>E402</f>
        <v>38619.299999999996</v>
      </c>
      <c r="F401" s="19">
        <f t="shared" ref="F401:G401" si="159">F402</f>
        <v>0</v>
      </c>
      <c r="G401" s="19">
        <f t="shared" si="159"/>
        <v>0</v>
      </c>
    </row>
    <row r="402" spans="1:7" ht="31.5" outlineLevel="2" x14ac:dyDescent="0.25">
      <c r="A402" s="33" t="s">
        <v>76</v>
      </c>
      <c r="B402" s="23" t="s">
        <v>58</v>
      </c>
      <c r="C402" s="23" t="s">
        <v>377</v>
      </c>
      <c r="D402" s="3">
        <v>200</v>
      </c>
      <c r="E402" s="19">
        <f>29648.6+4138.2+4832.5</f>
        <v>38619.299999999996</v>
      </c>
      <c r="F402" s="19">
        <v>0</v>
      </c>
      <c r="G402" s="19">
        <v>0</v>
      </c>
    </row>
    <row r="403" spans="1:7" ht="31.5" outlineLevel="2" x14ac:dyDescent="0.25">
      <c r="A403" s="22" t="s">
        <v>612</v>
      </c>
      <c r="B403" s="18" t="s">
        <v>58</v>
      </c>
      <c r="C403" s="18" t="s">
        <v>614</v>
      </c>
      <c r="D403" s="18"/>
      <c r="E403" s="19">
        <f>E404</f>
        <v>15372.1</v>
      </c>
      <c r="F403" s="19">
        <f t="shared" ref="F403:G403" si="160">F404</f>
        <v>0</v>
      </c>
      <c r="G403" s="19">
        <f t="shared" si="160"/>
        <v>0</v>
      </c>
    </row>
    <row r="404" spans="1:7" ht="31.5" outlineLevel="2" x14ac:dyDescent="0.25">
      <c r="A404" s="22" t="s">
        <v>76</v>
      </c>
      <c r="B404" s="18" t="s">
        <v>58</v>
      </c>
      <c r="C404" s="18" t="s">
        <v>614</v>
      </c>
      <c r="D404" s="18">
        <v>200</v>
      </c>
      <c r="E404" s="19">
        <v>15372.1</v>
      </c>
      <c r="F404" s="19">
        <v>0</v>
      </c>
      <c r="G404" s="19">
        <v>0</v>
      </c>
    </row>
    <row r="405" spans="1:7" ht="47.25" outlineLevel="2" x14ac:dyDescent="0.25">
      <c r="A405" s="22" t="s">
        <v>613</v>
      </c>
      <c r="B405" s="18" t="s">
        <v>58</v>
      </c>
      <c r="C405" s="18" t="s">
        <v>615</v>
      </c>
      <c r="D405" s="18"/>
      <c r="E405" s="19">
        <f>E406</f>
        <v>2270.1</v>
      </c>
      <c r="F405" s="19">
        <f t="shared" ref="F405:G413" si="161">F406</f>
        <v>0</v>
      </c>
      <c r="G405" s="19">
        <f t="shared" si="161"/>
        <v>0</v>
      </c>
    </row>
    <row r="406" spans="1:7" ht="31.5" outlineLevel="2" x14ac:dyDescent="0.25">
      <c r="A406" s="22" t="s">
        <v>76</v>
      </c>
      <c r="B406" s="18" t="s">
        <v>58</v>
      </c>
      <c r="C406" s="18" t="s">
        <v>615</v>
      </c>
      <c r="D406" s="18">
        <v>200</v>
      </c>
      <c r="E406" s="19">
        <v>2270.1</v>
      </c>
      <c r="F406" s="19">
        <v>0</v>
      </c>
      <c r="G406" s="19">
        <v>0</v>
      </c>
    </row>
    <row r="407" spans="1:7" ht="47.25" outlineLevel="2" x14ac:dyDescent="0.25">
      <c r="A407" s="85" t="s">
        <v>728</v>
      </c>
      <c r="B407" s="76" t="s">
        <v>58</v>
      </c>
      <c r="C407" s="76" t="s">
        <v>731</v>
      </c>
      <c r="D407" s="76"/>
      <c r="E407" s="19">
        <f>E408</f>
        <v>20367.2</v>
      </c>
      <c r="F407" s="19">
        <f t="shared" si="161"/>
        <v>0</v>
      </c>
      <c r="G407" s="19">
        <f t="shared" si="161"/>
        <v>0</v>
      </c>
    </row>
    <row r="408" spans="1:7" ht="31.5" outlineLevel="2" x14ac:dyDescent="0.25">
      <c r="A408" s="85" t="s">
        <v>76</v>
      </c>
      <c r="B408" s="76" t="s">
        <v>58</v>
      </c>
      <c r="C408" s="76" t="s">
        <v>731</v>
      </c>
      <c r="D408" s="76">
        <v>200</v>
      </c>
      <c r="E408" s="19">
        <f>20201.5+165.7</f>
        <v>20367.2</v>
      </c>
      <c r="F408" s="19">
        <v>0</v>
      </c>
      <c r="G408" s="19">
        <v>0</v>
      </c>
    </row>
    <row r="409" spans="1:7" ht="31.5" outlineLevel="2" x14ac:dyDescent="0.25">
      <c r="A409" s="85" t="s">
        <v>729</v>
      </c>
      <c r="B409" s="76" t="s">
        <v>58</v>
      </c>
      <c r="C409" s="76" t="s">
        <v>732</v>
      </c>
      <c r="D409" s="76"/>
      <c r="E409" s="19">
        <f t="shared" ref="E409" si="162">E410</f>
        <v>476.7</v>
      </c>
      <c r="F409" s="19">
        <f t="shared" si="161"/>
        <v>0</v>
      </c>
      <c r="G409" s="19">
        <f t="shared" si="161"/>
        <v>0</v>
      </c>
    </row>
    <row r="410" spans="1:7" ht="31.5" outlineLevel="2" x14ac:dyDescent="0.25">
      <c r="A410" s="85" t="s">
        <v>76</v>
      </c>
      <c r="B410" s="76" t="s">
        <v>58</v>
      </c>
      <c r="C410" s="76" t="s">
        <v>732</v>
      </c>
      <c r="D410" s="76" t="s">
        <v>39</v>
      </c>
      <c r="E410" s="19">
        <v>476.7</v>
      </c>
      <c r="F410" s="19">
        <v>0</v>
      </c>
      <c r="G410" s="19">
        <v>0</v>
      </c>
    </row>
    <row r="411" spans="1:7" ht="31.5" outlineLevel="2" x14ac:dyDescent="0.25">
      <c r="A411" s="88" t="s">
        <v>730</v>
      </c>
      <c r="B411" s="76" t="s">
        <v>58</v>
      </c>
      <c r="C411" s="76" t="s">
        <v>733</v>
      </c>
      <c r="D411" s="76"/>
      <c r="E411" s="19">
        <f t="shared" ref="E411" si="163">E412</f>
        <v>6815.5</v>
      </c>
      <c r="F411" s="19">
        <f t="shared" si="161"/>
        <v>0</v>
      </c>
      <c r="G411" s="19">
        <f t="shared" si="161"/>
        <v>0</v>
      </c>
    </row>
    <row r="412" spans="1:7" ht="31.5" outlineLevel="2" x14ac:dyDescent="0.25">
      <c r="A412" s="85" t="s">
        <v>76</v>
      </c>
      <c r="B412" s="76" t="s">
        <v>58</v>
      </c>
      <c r="C412" s="76" t="s">
        <v>733</v>
      </c>
      <c r="D412" s="76" t="s">
        <v>39</v>
      </c>
      <c r="E412" s="19">
        <v>6815.5</v>
      </c>
      <c r="F412" s="19">
        <v>0</v>
      </c>
      <c r="G412" s="19">
        <v>0</v>
      </c>
    </row>
    <row r="413" spans="1:7" ht="94.5" outlineLevel="2" x14ac:dyDescent="0.25">
      <c r="A413" s="74" t="s">
        <v>714</v>
      </c>
      <c r="B413" s="76" t="s">
        <v>58</v>
      </c>
      <c r="C413" s="76" t="s">
        <v>741</v>
      </c>
      <c r="D413" s="76"/>
      <c r="E413" s="19">
        <f t="shared" ref="E413" si="164">E414</f>
        <v>9000</v>
      </c>
      <c r="F413" s="19">
        <f t="shared" si="161"/>
        <v>0</v>
      </c>
      <c r="G413" s="19">
        <f t="shared" si="161"/>
        <v>0</v>
      </c>
    </row>
    <row r="414" spans="1:7" ht="47.25" outlineLevel="2" x14ac:dyDescent="0.25">
      <c r="A414" s="75" t="s">
        <v>94</v>
      </c>
      <c r="B414" s="76" t="s">
        <v>58</v>
      </c>
      <c r="C414" s="76" t="s">
        <v>741</v>
      </c>
      <c r="D414" s="76" t="s">
        <v>95</v>
      </c>
      <c r="E414" s="19">
        <v>9000</v>
      </c>
      <c r="F414" s="19">
        <v>0</v>
      </c>
      <c r="G414" s="19">
        <v>0</v>
      </c>
    </row>
    <row r="415" spans="1:7" ht="94.5" outlineLevel="2" x14ac:dyDescent="0.25">
      <c r="A415" s="29" t="s">
        <v>540</v>
      </c>
      <c r="B415" s="18" t="s">
        <v>58</v>
      </c>
      <c r="C415" s="18" t="s">
        <v>542</v>
      </c>
      <c r="D415" s="18"/>
      <c r="E415" s="19">
        <f>E416</f>
        <v>16116.699999999999</v>
      </c>
      <c r="F415" s="19">
        <f t="shared" ref="F415:G415" si="165">F416</f>
        <v>8524.1999999999989</v>
      </c>
      <c r="G415" s="19">
        <f t="shared" si="165"/>
        <v>0</v>
      </c>
    </row>
    <row r="416" spans="1:7" ht="31.5" outlineLevel="2" x14ac:dyDescent="0.25">
      <c r="A416" s="29" t="s">
        <v>76</v>
      </c>
      <c r="B416" s="18" t="s">
        <v>58</v>
      </c>
      <c r="C416" s="18" t="s">
        <v>542</v>
      </c>
      <c r="D416" s="18" t="s">
        <v>39</v>
      </c>
      <c r="E416" s="19">
        <f>464.2+7272.7-303+8682.8</f>
        <v>16116.699999999999</v>
      </c>
      <c r="F416" s="19">
        <f>464.2+7272.7+787.3</f>
        <v>8524.1999999999989</v>
      </c>
      <c r="G416" s="19">
        <v>0</v>
      </c>
    </row>
    <row r="417" spans="1:7" ht="31.5" outlineLevel="2" x14ac:dyDescent="0.25">
      <c r="A417" s="29" t="s">
        <v>541</v>
      </c>
      <c r="B417" s="18" t="s">
        <v>58</v>
      </c>
      <c r="C417" s="18" t="s">
        <v>543</v>
      </c>
      <c r="D417" s="18"/>
      <c r="E417" s="19">
        <f>E418</f>
        <v>128401.2</v>
      </c>
      <c r="F417" s="19">
        <f t="shared" ref="F417:G417" si="166">F418</f>
        <v>21276.6</v>
      </c>
      <c r="G417" s="19">
        <f t="shared" si="166"/>
        <v>21276.6</v>
      </c>
    </row>
    <row r="418" spans="1:7" ht="31.5" outlineLevel="2" x14ac:dyDescent="0.25">
      <c r="A418" s="29" t="s">
        <v>76</v>
      </c>
      <c r="B418" s="18" t="s">
        <v>58</v>
      </c>
      <c r="C418" s="18" t="s">
        <v>543</v>
      </c>
      <c r="D418" s="18" t="s">
        <v>39</v>
      </c>
      <c r="E418" s="19">
        <f>6766+106000+8435.2+7200</f>
        <v>128401.2</v>
      </c>
      <c r="F418" s="19">
        <f>1276.6+20000</f>
        <v>21276.6</v>
      </c>
      <c r="G418" s="19">
        <f>1276.6+20000</f>
        <v>21276.6</v>
      </c>
    </row>
    <row r="419" spans="1:7" outlineLevel="2" x14ac:dyDescent="0.25">
      <c r="A419" s="33" t="s">
        <v>144</v>
      </c>
      <c r="B419" s="30" t="s">
        <v>58</v>
      </c>
      <c r="C419" s="30" t="s">
        <v>408</v>
      </c>
      <c r="D419" s="24"/>
      <c r="E419" s="19">
        <f>E420</f>
        <v>656468.80000000005</v>
      </c>
      <c r="F419" s="19">
        <f t="shared" ref="F419:G419" si="167">F420</f>
        <v>514161.79999999993</v>
      </c>
      <c r="G419" s="19">
        <f t="shared" si="167"/>
        <v>524715.4</v>
      </c>
    </row>
    <row r="420" spans="1:7" ht="47.25" outlineLevel="2" x14ac:dyDescent="0.25">
      <c r="A420" s="33" t="s">
        <v>409</v>
      </c>
      <c r="B420" s="30" t="s">
        <v>58</v>
      </c>
      <c r="C420" s="30" t="s">
        <v>410</v>
      </c>
      <c r="D420" s="24"/>
      <c r="E420" s="19">
        <f>E421+E425+E423+E428+E430+E432+E434+E436+E438+E440+E442+E446+E448+E452+E444+E450</f>
        <v>656468.80000000005</v>
      </c>
      <c r="F420" s="19">
        <f t="shared" ref="F420:G420" si="168">F421+F425+F423+F428+F430+F432+F434+F436+F438+F440+F442+F446+F448+F452+F444+F450</f>
        <v>514161.79999999993</v>
      </c>
      <c r="G420" s="19">
        <f t="shared" si="168"/>
        <v>524715.4</v>
      </c>
    </row>
    <row r="421" spans="1:7" ht="31.5" outlineLevel="2" x14ac:dyDescent="0.25">
      <c r="A421" s="29" t="s">
        <v>411</v>
      </c>
      <c r="B421" s="30" t="s">
        <v>58</v>
      </c>
      <c r="C421" s="23" t="s">
        <v>412</v>
      </c>
      <c r="D421" s="24"/>
      <c r="E421" s="19">
        <f>E422</f>
        <v>20010.099999999999</v>
      </c>
      <c r="F421" s="19">
        <f t="shared" ref="F421:G421" si="169">F422</f>
        <v>2010.1</v>
      </c>
      <c r="G421" s="19">
        <f t="shared" si="169"/>
        <v>2010.1</v>
      </c>
    </row>
    <row r="422" spans="1:7" ht="31.5" outlineLevel="2" x14ac:dyDescent="0.25">
      <c r="A422" s="20" t="s">
        <v>76</v>
      </c>
      <c r="B422" s="30" t="s">
        <v>58</v>
      </c>
      <c r="C422" s="23" t="s">
        <v>412</v>
      </c>
      <c r="D422" s="24">
        <v>200</v>
      </c>
      <c r="E422" s="19">
        <f>2010.1+8000+10000</f>
        <v>20010.099999999999</v>
      </c>
      <c r="F422" s="19">
        <v>2010.1</v>
      </c>
      <c r="G422" s="19">
        <v>2010.1</v>
      </c>
    </row>
    <row r="423" spans="1:7" ht="36" customHeight="1" outlineLevel="2" x14ac:dyDescent="0.25">
      <c r="A423" s="20" t="s">
        <v>513</v>
      </c>
      <c r="B423" s="30" t="s">
        <v>58</v>
      </c>
      <c r="C423" s="23" t="s">
        <v>413</v>
      </c>
      <c r="D423" s="24"/>
      <c r="E423" s="19">
        <f>E424</f>
        <v>16550.2</v>
      </c>
      <c r="F423" s="19">
        <f t="shared" ref="F423:G423" si="170">F424</f>
        <v>0</v>
      </c>
      <c r="G423" s="19">
        <f t="shared" si="170"/>
        <v>0</v>
      </c>
    </row>
    <row r="424" spans="1:7" ht="31.5" outlineLevel="2" x14ac:dyDescent="0.25">
      <c r="A424" s="20" t="s">
        <v>76</v>
      </c>
      <c r="B424" s="23" t="s">
        <v>58</v>
      </c>
      <c r="C424" s="23" t="s">
        <v>413</v>
      </c>
      <c r="D424" s="24">
        <v>200</v>
      </c>
      <c r="E424" s="19">
        <f>21000+350-4799.8</f>
        <v>16550.2</v>
      </c>
      <c r="F424" s="19">
        <v>0</v>
      </c>
      <c r="G424" s="19">
        <v>0</v>
      </c>
    </row>
    <row r="425" spans="1:7" ht="31.5" outlineLevel="2" x14ac:dyDescent="0.25">
      <c r="A425" s="20" t="s">
        <v>414</v>
      </c>
      <c r="B425" s="23" t="s">
        <v>58</v>
      </c>
      <c r="C425" s="18" t="s">
        <v>415</v>
      </c>
      <c r="D425" s="9"/>
      <c r="E425" s="19">
        <f>E427+E426</f>
        <v>118187.2</v>
      </c>
      <c r="F425" s="19">
        <f t="shared" ref="F425:G425" si="171">F427+F426</f>
        <v>21988</v>
      </c>
      <c r="G425" s="19">
        <f t="shared" si="171"/>
        <v>21988</v>
      </c>
    </row>
    <row r="426" spans="1:7" ht="31.5" outlineLevel="2" x14ac:dyDescent="0.25">
      <c r="A426" s="29" t="s">
        <v>76</v>
      </c>
      <c r="B426" s="18" t="s">
        <v>58</v>
      </c>
      <c r="C426" s="18" t="s">
        <v>415</v>
      </c>
      <c r="D426" s="18" t="s">
        <v>39</v>
      </c>
      <c r="E426" s="19">
        <f>96199.2-30471.7</f>
        <v>65727.5</v>
      </c>
      <c r="F426" s="19">
        <v>0</v>
      </c>
      <c r="G426" s="19">
        <v>0</v>
      </c>
    </row>
    <row r="427" spans="1:7" ht="47.25" outlineLevel="2" x14ac:dyDescent="0.25">
      <c r="A427" s="20" t="s">
        <v>94</v>
      </c>
      <c r="B427" s="23" t="s">
        <v>58</v>
      </c>
      <c r="C427" s="18" t="s">
        <v>415</v>
      </c>
      <c r="D427" s="9">
        <v>600</v>
      </c>
      <c r="E427" s="19">
        <f>21988+30471.7</f>
        <v>52459.7</v>
      </c>
      <c r="F427" s="19">
        <v>21988</v>
      </c>
      <c r="G427" s="19">
        <v>21988</v>
      </c>
    </row>
    <row r="428" spans="1:7" ht="31.5" outlineLevel="2" x14ac:dyDescent="0.25">
      <c r="A428" s="51" t="s">
        <v>416</v>
      </c>
      <c r="B428" s="23" t="s">
        <v>58</v>
      </c>
      <c r="C428" s="23" t="s">
        <v>417</v>
      </c>
      <c r="D428" s="24"/>
      <c r="E428" s="19">
        <f>E429</f>
        <v>350</v>
      </c>
      <c r="F428" s="19">
        <f t="shared" ref="F428:G428" si="172">F429</f>
        <v>350</v>
      </c>
      <c r="G428" s="19">
        <f t="shared" si="172"/>
        <v>350</v>
      </c>
    </row>
    <row r="429" spans="1:7" ht="31.5" outlineLevel="2" x14ac:dyDescent="0.25">
      <c r="A429" s="20" t="s">
        <v>76</v>
      </c>
      <c r="B429" s="23" t="s">
        <v>58</v>
      </c>
      <c r="C429" s="23" t="s">
        <v>417</v>
      </c>
      <c r="D429" s="24">
        <v>200</v>
      </c>
      <c r="E429" s="19">
        <v>350</v>
      </c>
      <c r="F429" s="19">
        <v>350</v>
      </c>
      <c r="G429" s="19">
        <v>350</v>
      </c>
    </row>
    <row r="430" spans="1:7" ht="31.5" outlineLevel="2" x14ac:dyDescent="0.25">
      <c r="A430" s="52" t="s">
        <v>418</v>
      </c>
      <c r="B430" s="23" t="s">
        <v>58</v>
      </c>
      <c r="C430" s="23" t="s">
        <v>419</v>
      </c>
      <c r="D430" s="24"/>
      <c r="E430" s="19">
        <f>E431</f>
        <v>300</v>
      </c>
      <c r="F430" s="19">
        <f t="shared" ref="F430:G430" si="173">F431</f>
        <v>312</v>
      </c>
      <c r="G430" s="19">
        <f t="shared" si="173"/>
        <v>324.5</v>
      </c>
    </row>
    <row r="431" spans="1:7" ht="31.5" outlineLevel="2" x14ac:dyDescent="0.25">
      <c r="A431" s="20" t="s">
        <v>76</v>
      </c>
      <c r="B431" s="23" t="s">
        <v>58</v>
      </c>
      <c r="C431" s="23" t="s">
        <v>419</v>
      </c>
      <c r="D431" s="24">
        <v>200</v>
      </c>
      <c r="E431" s="19">
        <v>300</v>
      </c>
      <c r="F431" s="19">
        <v>312</v>
      </c>
      <c r="G431" s="19">
        <v>324.5</v>
      </c>
    </row>
    <row r="432" spans="1:7" ht="47.25" outlineLevel="2" x14ac:dyDescent="0.25">
      <c r="A432" s="52" t="s">
        <v>420</v>
      </c>
      <c r="B432" s="23" t="s">
        <v>58</v>
      </c>
      <c r="C432" s="23" t="s">
        <v>421</v>
      </c>
      <c r="D432" s="24"/>
      <c r="E432" s="19">
        <f>E433</f>
        <v>30000</v>
      </c>
      <c r="F432" s="19">
        <f t="shared" ref="F432:G432" si="174">F433</f>
        <v>31200</v>
      </c>
      <c r="G432" s="19">
        <f t="shared" si="174"/>
        <v>32448</v>
      </c>
    </row>
    <row r="433" spans="1:7" ht="31.5" outlineLevel="2" x14ac:dyDescent="0.25">
      <c r="A433" s="20" t="s">
        <v>76</v>
      </c>
      <c r="B433" s="23" t="s">
        <v>58</v>
      </c>
      <c r="C433" s="23" t="s">
        <v>421</v>
      </c>
      <c r="D433" s="24">
        <v>200</v>
      </c>
      <c r="E433" s="19">
        <v>30000</v>
      </c>
      <c r="F433" s="19">
        <v>31200</v>
      </c>
      <c r="G433" s="19">
        <v>32448</v>
      </c>
    </row>
    <row r="434" spans="1:7" ht="47.25" outlineLevel="2" x14ac:dyDescent="0.25">
      <c r="A434" s="52" t="s">
        <v>422</v>
      </c>
      <c r="B434" s="23" t="s">
        <v>58</v>
      </c>
      <c r="C434" s="23" t="s">
        <v>423</v>
      </c>
      <c r="D434" s="24"/>
      <c r="E434" s="19">
        <f>E435</f>
        <v>1641.2</v>
      </c>
      <c r="F434" s="19">
        <f t="shared" ref="F434:G434" si="175">F435</f>
        <v>187.2</v>
      </c>
      <c r="G434" s="19">
        <f t="shared" si="175"/>
        <v>194.7</v>
      </c>
    </row>
    <row r="435" spans="1:7" ht="31.5" outlineLevel="2" x14ac:dyDescent="0.25">
      <c r="A435" s="20" t="s">
        <v>76</v>
      </c>
      <c r="B435" s="23" t="s">
        <v>58</v>
      </c>
      <c r="C435" s="23" t="s">
        <v>423</v>
      </c>
      <c r="D435" s="24">
        <v>200</v>
      </c>
      <c r="E435" s="19">
        <f>180+158.7+1246.3+56.2</f>
        <v>1641.2</v>
      </c>
      <c r="F435" s="19">
        <v>187.2</v>
      </c>
      <c r="G435" s="19">
        <v>194.7</v>
      </c>
    </row>
    <row r="436" spans="1:7" ht="47.25" outlineLevel="2" x14ac:dyDescent="0.25">
      <c r="A436" s="52" t="s">
        <v>424</v>
      </c>
      <c r="B436" s="23" t="s">
        <v>58</v>
      </c>
      <c r="C436" s="23" t="s">
        <v>425</v>
      </c>
      <c r="D436" s="24"/>
      <c r="E436" s="19">
        <f>E437</f>
        <v>3000</v>
      </c>
      <c r="F436" s="19">
        <f t="shared" ref="F436:G436" si="176">F437</f>
        <v>3000</v>
      </c>
      <c r="G436" s="19">
        <f t="shared" si="176"/>
        <v>3000</v>
      </c>
    </row>
    <row r="437" spans="1:7" ht="31.5" outlineLevel="2" x14ac:dyDescent="0.25">
      <c r="A437" s="20" t="s">
        <v>76</v>
      </c>
      <c r="B437" s="23" t="s">
        <v>58</v>
      </c>
      <c r="C437" s="23" t="s">
        <v>425</v>
      </c>
      <c r="D437" s="24">
        <v>200</v>
      </c>
      <c r="E437" s="19">
        <v>3000</v>
      </c>
      <c r="F437" s="19">
        <v>3000</v>
      </c>
      <c r="G437" s="19">
        <v>3000</v>
      </c>
    </row>
    <row r="438" spans="1:7" ht="31.5" outlineLevel="2" x14ac:dyDescent="0.25">
      <c r="A438" s="52" t="s">
        <v>426</v>
      </c>
      <c r="B438" s="23" t="s">
        <v>58</v>
      </c>
      <c r="C438" s="23" t="s">
        <v>427</v>
      </c>
      <c r="D438" s="24"/>
      <c r="E438" s="19">
        <f>E439</f>
        <v>88</v>
      </c>
      <c r="F438" s="19">
        <f t="shared" ref="F438:G438" si="177">F439</f>
        <v>0</v>
      </c>
      <c r="G438" s="19">
        <f t="shared" si="177"/>
        <v>0</v>
      </c>
    </row>
    <row r="439" spans="1:7" ht="31.5" outlineLevel="2" x14ac:dyDescent="0.25">
      <c r="A439" s="20" t="s">
        <v>76</v>
      </c>
      <c r="B439" s="23" t="s">
        <v>58</v>
      </c>
      <c r="C439" s="23" t="s">
        <v>427</v>
      </c>
      <c r="D439" s="24">
        <v>200</v>
      </c>
      <c r="E439" s="19">
        <v>88</v>
      </c>
      <c r="F439" s="19">
        <v>0</v>
      </c>
      <c r="G439" s="19">
        <v>0</v>
      </c>
    </row>
    <row r="440" spans="1:7" ht="31.5" outlineLevel="2" x14ac:dyDescent="0.25">
      <c r="A440" s="52" t="s">
        <v>428</v>
      </c>
      <c r="B440" s="23" t="s">
        <v>58</v>
      </c>
      <c r="C440" s="23" t="s">
        <v>429</v>
      </c>
      <c r="D440" s="24"/>
      <c r="E440" s="19">
        <f>E441</f>
        <v>100</v>
      </c>
      <c r="F440" s="19">
        <f t="shared" ref="F440:G440" si="178">F441</f>
        <v>110</v>
      </c>
      <c r="G440" s="19">
        <f t="shared" si="178"/>
        <v>110</v>
      </c>
    </row>
    <row r="441" spans="1:7" ht="31.5" outlineLevel="2" x14ac:dyDescent="0.25">
      <c r="A441" s="20" t="s">
        <v>76</v>
      </c>
      <c r="B441" s="23" t="s">
        <v>58</v>
      </c>
      <c r="C441" s="23" t="s">
        <v>429</v>
      </c>
      <c r="D441" s="24">
        <v>200</v>
      </c>
      <c r="E441" s="19">
        <v>100</v>
      </c>
      <c r="F441" s="19">
        <v>110</v>
      </c>
      <c r="G441" s="19">
        <v>110</v>
      </c>
    </row>
    <row r="442" spans="1:7" ht="31.5" outlineLevel="2" x14ac:dyDescent="0.25">
      <c r="A442" s="52" t="s">
        <v>529</v>
      </c>
      <c r="B442" s="23" t="s">
        <v>58</v>
      </c>
      <c r="C442" s="23" t="s">
        <v>430</v>
      </c>
      <c r="D442" s="24"/>
      <c r="E442" s="19">
        <f>E443</f>
        <v>370</v>
      </c>
      <c r="F442" s="19">
        <f t="shared" ref="F442:G444" si="179">F443</f>
        <v>0</v>
      </c>
      <c r="G442" s="19">
        <f t="shared" si="179"/>
        <v>0</v>
      </c>
    </row>
    <row r="443" spans="1:7" ht="31.5" outlineLevel="2" x14ac:dyDescent="0.25">
      <c r="A443" s="20" t="s">
        <v>76</v>
      </c>
      <c r="B443" s="23" t="s">
        <v>58</v>
      </c>
      <c r="C443" s="23" t="s">
        <v>430</v>
      </c>
      <c r="D443" s="24">
        <v>200</v>
      </c>
      <c r="E443" s="19">
        <v>370</v>
      </c>
      <c r="F443" s="19">
        <v>0</v>
      </c>
      <c r="G443" s="19">
        <v>0</v>
      </c>
    </row>
    <row r="444" spans="1:7" ht="31.5" outlineLevel="2" x14ac:dyDescent="0.25">
      <c r="A444" s="74" t="s">
        <v>734</v>
      </c>
      <c r="B444" s="76" t="s">
        <v>58</v>
      </c>
      <c r="C444" s="76" t="s">
        <v>735</v>
      </c>
      <c r="D444" s="76"/>
      <c r="E444" s="19">
        <f t="shared" ref="E444" si="180">E445</f>
        <v>1846.7</v>
      </c>
      <c r="F444" s="19">
        <f t="shared" si="179"/>
        <v>0</v>
      </c>
      <c r="G444" s="19">
        <f t="shared" si="179"/>
        <v>0</v>
      </c>
    </row>
    <row r="445" spans="1:7" ht="31.5" outlineLevel="2" x14ac:dyDescent="0.25">
      <c r="A445" s="74" t="s">
        <v>76</v>
      </c>
      <c r="B445" s="76" t="s">
        <v>58</v>
      </c>
      <c r="C445" s="76" t="s">
        <v>735</v>
      </c>
      <c r="D445" s="76" t="s">
        <v>39</v>
      </c>
      <c r="E445" s="19">
        <v>1846.7</v>
      </c>
      <c r="F445" s="19">
        <v>0</v>
      </c>
      <c r="G445" s="19">
        <v>0</v>
      </c>
    </row>
    <row r="446" spans="1:7" ht="63" outlineLevel="2" x14ac:dyDescent="0.25">
      <c r="A446" s="2" t="s">
        <v>431</v>
      </c>
      <c r="B446" s="23" t="s">
        <v>58</v>
      </c>
      <c r="C446" s="23" t="s">
        <v>432</v>
      </c>
      <c r="D446" s="24"/>
      <c r="E446" s="19">
        <f>E447</f>
        <v>189048.5</v>
      </c>
      <c r="F446" s="19">
        <f t="shared" ref="F446:G446" si="181">F447</f>
        <v>180401.3</v>
      </c>
      <c r="G446" s="19">
        <f t="shared" si="181"/>
        <v>180708.8</v>
      </c>
    </row>
    <row r="447" spans="1:7" ht="47.25" outlineLevel="2" x14ac:dyDescent="0.25">
      <c r="A447" s="20" t="s">
        <v>94</v>
      </c>
      <c r="B447" s="23" t="s">
        <v>58</v>
      </c>
      <c r="C447" s="23" t="s">
        <v>432</v>
      </c>
      <c r="D447" s="24">
        <v>600</v>
      </c>
      <c r="E447" s="19">
        <f>172666.9+16381.6</f>
        <v>189048.5</v>
      </c>
      <c r="F447" s="19">
        <f>172666.9+7734.4</f>
        <v>180401.3</v>
      </c>
      <c r="G447" s="19">
        <f>172666.9+8041.9</f>
        <v>180708.8</v>
      </c>
    </row>
    <row r="448" spans="1:7" outlineLevel="2" x14ac:dyDescent="0.25">
      <c r="A448" s="20" t="s">
        <v>433</v>
      </c>
      <c r="B448" s="23" t="s">
        <v>58</v>
      </c>
      <c r="C448" s="23" t="s">
        <v>434</v>
      </c>
      <c r="D448" s="24"/>
      <c r="E448" s="19">
        <f>E449</f>
        <v>8749.7000000000007</v>
      </c>
      <c r="F448" s="19">
        <f t="shared" ref="F448:G448" si="182">F449</f>
        <v>5367.9</v>
      </c>
      <c r="G448" s="19">
        <f t="shared" si="182"/>
        <v>5367.9</v>
      </c>
    </row>
    <row r="449" spans="1:7" ht="47.25" outlineLevel="2" x14ac:dyDescent="0.25">
      <c r="A449" s="20" t="s">
        <v>94</v>
      </c>
      <c r="B449" s="23" t="s">
        <v>58</v>
      </c>
      <c r="C449" s="23" t="s">
        <v>434</v>
      </c>
      <c r="D449" s="24">
        <v>600</v>
      </c>
      <c r="E449" s="19">
        <f>5367.9+3381.8</f>
        <v>8749.7000000000007</v>
      </c>
      <c r="F449" s="19">
        <v>5367.9</v>
      </c>
      <c r="G449" s="19">
        <v>5367.9</v>
      </c>
    </row>
    <row r="450" spans="1:7" ht="63" outlineLevel="2" x14ac:dyDescent="0.25">
      <c r="A450" s="74" t="s">
        <v>738</v>
      </c>
      <c r="B450" s="76" t="s">
        <v>58</v>
      </c>
      <c r="C450" s="76" t="s">
        <v>739</v>
      </c>
      <c r="D450" s="76"/>
      <c r="E450" s="19">
        <f t="shared" ref="E450:G450" si="183">E451</f>
        <v>9796.2999999999993</v>
      </c>
      <c r="F450" s="19">
        <f t="shared" si="183"/>
        <v>0</v>
      </c>
      <c r="G450" s="19">
        <f t="shared" si="183"/>
        <v>0</v>
      </c>
    </row>
    <row r="451" spans="1:7" ht="47.25" outlineLevel="2" x14ac:dyDescent="0.25">
      <c r="A451" s="74" t="s">
        <v>94</v>
      </c>
      <c r="B451" s="76" t="s">
        <v>58</v>
      </c>
      <c r="C451" s="76" t="s">
        <v>739</v>
      </c>
      <c r="D451" s="76" t="s">
        <v>95</v>
      </c>
      <c r="E451" s="19">
        <v>9796.2999999999993</v>
      </c>
      <c r="F451" s="19">
        <v>0</v>
      </c>
      <c r="G451" s="19">
        <v>0</v>
      </c>
    </row>
    <row r="452" spans="1:7" ht="78.75" outlineLevel="2" x14ac:dyDescent="0.25">
      <c r="A452" s="2" t="s">
        <v>435</v>
      </c>
      <c r="B452" s="23" t="s">
        <v>58</v>
      </c>
      <c r="C452" s="23" t="s">
        <v>436</v>
      </c>
      <c r="D452" s="24"/>
      <c r="E452" s="19">
        <f>E453</f>
        <v>256430.9</v>
      </c>
      <c r="F452" s="19">
        <f>F453</f>
        <v>269235.3</v>
      </c>
      <c r="G452" s="19">
        <f>G453</f>
        <v>278213.40000000002</v>
      </c>
    </row>
    <row r="453" spans="1:7" outlineLevel="2" x14ac:dyDescent="0.25">
      <c r="A453" s="48" t="s">
        <v>33</v>
      </c>
      <c r="B453" s="23" t="s">
        <v>58</v>
      </c>
      <c r="C453" s="23" t="s">
        <v>436</v>
      </c>
      <c r="D453" s="24">
        <v>800</v>
      </c>
      <c r="E453" s="19">
        <f>256430.9-15200+15200</f>
        <v>256430.9</v>
      </c>
      <c r="F453" s="19">
        <v>269235.3</v>
      </c>
      <c r="G453" s="19">
        <v>278213.40000000002</v>
      </c>
    </row>
    <row r="454" spans="1:7" ht="31.5" outlineLevel="1" x14ac:dyDescent="0.25">
      <c r="A454" s="22" t="s">
        <v>88</v>
      </c>
      <c r="B454" s="18" t="s">
        <v>89</v>
      </c>
      <c r="C454" s="18"/>
      <c r="D454" s="9"/>
      <c r="E454" s="19">
        <f>E455+E460+E468</f>
        <v>260563.7</v>
      </c>
      <c r="F454" s="19">
        <f>F455+F460+F468</f>
        <v>207615.9</v>
      </c>
      <c r="G454" s="19">
        <f>G455+G460+G468</f>
        <v>211570</v>
      </c>
    </row>
    <row r="455" spans="1:7" ht="47.25" outlineLevel="2" x14ac:dyDescent="0.25">
      <c r="A455" s="29" t="s">
        <v>59</v>
      </c>
      <c r="B455" s="23" t="s">
        <v>89</v>
      </c>
      <c r="C455" s="23" t="s">
        <v>60</v>
      </c>
      <c r="D455" s="24"/>
      <c r="E455" s="19">
        <f>E456</f>
        <v>1.5</v>
      </c>
      <c r="F455" s="19">
        <f t="shared" ref="F455:G458" si="184">F456</f>
        <v>1.5</v>
      </c>
      <c r="G455" s="19">
        <f t="shared" si="184"/>
        <v>1.5</v>
      </c>
    </row>
    <row r="456" spans="1:7" outlineLevel="2" x14ac:dyDescent="0.25">
      <c r="A456" s="33" t="s">
        <v>144</v>
      </c>
      <c r="B456" s="30" t="s">
        <v>89</v>
      </c>
      <c r="C456" s="30" t="s">
        <v>135</v>
      </c>
      <c r="D456" s="24"/>
      <c r="E456" s="19">
        <f>E457</f>
        <v>1.5</v>
      </c>
      <c r="F456" s="19">
        <f t="shared" si="184"/>
        <v>1.5</v>
      </c>
      <c r="G456" s="19">
        <f t="shared" si="184"/>
        <v>1.5</v>
      </c>
    </row>
    <row r="457" spans="1:7" ht="110.25" outlineLevel="2" x14ac:dyDescent="0.25">
      <c r="A457" s="29" t="s">
        <v>401</v>
      </c>
      <c r="B457" s="23" t="s">
        <v>89</v>
      </c>
      <c r="C457" s="23" t="s">
        <v>402</v>
      </c>
      <c r="D457" s="24"/>
      <c r="E457" s="19">
        <f>E458</f>
        <v>1.5</v>
      </c>
      <c r="F457" s="19">
        <f t="shared" si="184"/>
        <v>1.5</v>
      </c>
      <c r="G457" s="19">
        <f t="shared" si="184"/>
        <v>1.5</v>
      </c>
    </row>
    <row r="458" spans="1:7" ht="173.25" outlineLevel="2" x14ac:dyDescent="0.25">
      <c r="A458" s="2" t="s">
        <v>437</v>
      </c>
      <c r="B458" s="23" t="s">
        <v>89</v>
      </c>
      <c r="C458" s="23" t="s">
        <v>438</v>
      </c>
      <c r="D458" s="24"/>
      <c r="E458" s="19">
        <f>E459</f>
        <v>1.5</v>
      </c>
      <c r="F458" s="19">
        <f t="shared" si="184"/>
        <v>1.5</v>
      </c>
      <c r="G458" s="19">
        <f t="shared" si="184"/>
        <v>1.5</v>
      </c>
    </row>
    <row r="459" spans="1:7" ht="31.5" outlineLevel="2" x14ac:dyDescent="0.25">
      <c r="A459" s="48" t="s">
        <v>76</v>
      </c>
      <c r="B459" s="23" t="s">
        <v>89</v>
      </c>
      <c r="C459" s="23" t="s">
        <v>438</v>
      </c>
      <c r="D459" s="24">
        <v>200</v>
      </c>
      <c r="E459" s="19">
        <f>1.8-0.3</f>
        <v>1.5</v>
      </c>
      <c r="F459" s="19">
        <f>1.8-0.3</f>
        <v>1.5</v>
      </c>
      <c r="G459" s="19">
        <f>1.8-0.3</f>
        <v>1.5</v>
      </c>
    </row>
    <row r="460" spans="1:7" ht="78.75" outlineLevel="2" x14ac:dyDescent="0.25">
      <c r="A460" s="40" t="s">
        <v>348</v>
      </c>
      <c r="B460" s="18" t="s">
        <v>89</v>
      </c>
      <c r="C460" s="18" t="s">
        <v>54</v>
      </c>
      <c r="D460" s="9"/>
      <c r="E460" s="19">
        <f>E461</f>
        <v>92307.800000000032</v>
      </c>
      <c r="F460" s="19">
        <f t="shared" ref="F460:G462" si="185">F461</f>
        <v>82051.200000000012</v>
      </c>
      <c r="G460" s="19">
        <f t="shared" si="185"/>
        <v>82051.200000000012</v>
      </c>
    </row>
    <row r="461" spans="1:7" outlineLevel="2" x14ac:dyDescent="0.25">
      <c r="A461" s="33" t="s">
        <v>144</v>
      </c>
      <c r="B461" s="18" t="s">
        <v>89</v>
      </c>
      <c r="C461" s="18" t="s">
        <v>83</v>
      </c>
      <c r="D461" s="9"/>
      <c r="E461" s="19">
        <f>E462</f>
        <v>92307.800000000032</v>
      </c>
      <c r="F461" s="19">
        <f t="shared" si="185"/>
        <v>82051.200000000012</v>
      </c>
      <c r="G461" s="19">
        <f t="shared" si="185"/>
        <v>82051.200000000012</v>
      </c>
    </row>
    <row r="462" spans="1:7" ht="78.75" outlineLevel="2" x14ac:dyDescent="0.25">
      <c r="A462" s="33" t="s">
        <v>439</v>
      </c>
      <c r="B462" s="18" t="s">
        <v>89</v>
      </c>
      <c r="C462" s="18" t="s">
        <v>440</v>
      </c>
      <c r="D462" s="9"/>
      <c r="E462" s="19">
        <f>E463</f>
        <v>92307.800000000032</v>
      </c>
      <c r="F462" s="19">
        <f t="shared" si="185"/>
        <v>82051.200000000012</v>
      </c>
      <c r="G462" s="19">
        <f t="shared" si="185"/>
        <v>82051.200000000012</v>
      </c>
    </row>
    <row r="463" spans="1:7" ht="47.25" outlineLevel="2" x14ac:dyDescent="0.25">
      <c r="A463" s="8" t="s">
        <v>159</v>
      </c>
      <c r="B463" s="18" t="s">
        <v>89</v>
      </c>
      <c r="C463" s="18" t="s">
        <v>441</v>
      </c>
      <c r="D463" s="9"/>
      <c r="E463" s="19">
        <f>SUM(E464:E467)</f>
        <v>92307.800000000032</v>
      </c>
      <c r="F463" s="19">
        <f t="shared" ref="F463:G463" si="186">F464+F465</f>
        <v>82051.200000000012</v>
      </c>
      <c r="G463" s="19">
        <f t="shared" si="186"/>
        <v>82051.200000000012</v>
      </c>
    </row>
    <row r="464" spans="1:7" ht="94.5" outlineLevel="2" x14ac:dyDescent="0.25">
      <c r="A464" s="20" t="s">
        <v>13</v>
      </c>
      <c r="B464" s="18" t="s">
        <v>89</v>
      </c>
      <c r="C464" s="18" t="s">
        <v>441</v>
      </c>
      <c r="D464" s="9">
        <v>100</v>
      </c>
      <c r="E464" s="19">
        <f>77726.5+8680.6+1385.1+4.1+64.6</f>
        <v>87860.900000000023</v>
      </c>
      <c r="F464" s="19">
        <v>80320.600000000006</v>
      </c>
      <c r="G464" s="19">
        <v>80320.600000000006</v>
      </c>
    </row>
    <row r="465" spans="1:7" ht="31.5" outlineLevel="2" x14ac:dyDescent="0.25">
      <c r="A465" s="20" t="s">
        <v>76</v>
      </c>
      <c r="B465" s="18" t="s">
        <v>89</v>
      </c>
      <c r="C465" s="18" t="s">
        <v>441</v>
      </c>
      <c r="D465" s="9">
        <v>200</v>
      </c>
      <c r="E465" s="19">
        <f>2117.9+290.9</f>
        <v>2408.8000000000002</v>
      </c>
      <c r="F465" s="19">
        <v>1730.6</v>
      </c>
      <c r="G465" s="19">
        <v>1730.6</v>
      </c>
    </row>
    <row r="466" spans="1:7" ht="31.5" outlineLevel="2" x14ac:dyDescent="0.25">
      <c r="A466" s="17" t="s">
        <v>20</v>
      </c>
      <c r="B466" s="18" t="s">
        <v>89</v>
      </c>
      <c r="C466" s="18" t="s">
        <v>441</v>
      </c>
      <c r="D466" s="18" t="s">
        <v>561</v>
      </c>
      <c r="E466" s="19">
        <f>677.5-17.6+1191.1</f>
        <v>1851</v>
      </c>
      <c r="F466" s="19">
        <v>0</v>
      </c>
      <c r="G466" s="19">
        <v>0</v>
      </c>
    </row>
    <row r="467" spans="1:7" outlineLevel="2" x14ac:dyDescent="0.25">
      <c r="A467" s="89" t="s">
        <v>33</v>
      </c>
      <c r="B467" s="76" t="s">
        <v>89</v>
      </c>
      <c r="C467" s="76" t="s">
        <v>441</v>
      </c>
      <c r="D467" s="76" t="s">
        <v>532</v>
      </c>
      <c r="E467" s="19">
        <f>173.6+13.5</f>
        <v>187.1</v>
      </c>
      <c r="F467" s="19">
        <v>0</v>
      </c>
      <c r="G467" s="19">
        <v>0</v>
      </c>
    </row>
    <row r="468" spans="1:7" ht="78.75" outlineLevel="2" x14ac:dyDescent="0.25">
      <c r="A468" s="33" t="s">
        <v>332</v>
      </c>
      <c r="B468" s="23" t="s">
        <v>89</v>
      </c>
      <c r="C468" s="23" t="s">
        <v>333</v>
      </c>
      <c r="D468" s="24"/>
      <c r="E468" s="19">
        <f>E469</f>
        <v>168254.4</v>
      </c>
      <c r="F468" s="19">
        <f t="shared" ref="F468:G470" si="187">F469</f>
        <v>125563.19999999998</v>
      </c>
      <c r="G468" s="19">
        <f t="shared" si="187"/>
        <v>129517.3</v>
      </c>
    </row>
    <row r="469" spans="1:7" outlineLevel="2" x14ac:dyDescent="0.25">
      <c r="A469" s="33" t="s">
        <v>144</v>
      </c>
      <c r="B469" s="30" t="s">
        <v>89</v>
      </c>
      <c r="C469" s="30" t="s">
        <v>442</v>
      </c>
      <c r="D469" s="24"/>
      <c r="E469" s="19">
        <f>E470</f>
        <v>168254.4</v>
      </c>
      <c r="F469" s="19">
        <f t="shared" si="187"/>
        <v>125563.19999999998</v>
      </c>
      <c r="G469" s="19">
        <f t="shared" si="187"/>
        <v>129517.3</v>
      </c>
    </row>
    <row r="470" spans="1:7" ht="63" outlineLevel="2" x14ac:dyDescent="0.25">
      <c r="A470" s="33" t="s">
        <v>443</v>
      </c>
      <c r="B470" s="23" t="s">
        <v>89</v>
      </c>
      <c r="C470" s="30" t="s">
        <v>444</v>
      </c>
      <c r="D470" s="24"/>
      <c r="E470" s="19">
        <f>E471</f>
        <v>168254.4</v>
      </c>
      <c r="F470" s="19">
        <f t="shared" si="187"/>
        <v>125563.19999999998</v>
      </c>
      <c r="G470" s="19">
        <f t="shared" si="187"/>
        <v>129517.3</v>
      </c>
    </row>
    <row r="471" spans="1:7" ht="47.25" outlineLevel="2" x14ac:dyDescent="0.25">
      <c r="A471" s="49" t="s">
        <v>151</v>
      </c>
      <c r="B471" s="23" t="s">
        <v>89</v>
      </c>
      <c r="C471" s="23" t="s">
        <v>445</v>
      </c>
      <c r="D471" s="24"/>
      <c r="E471" s="19">
        <f>E472+E473+E474</f>
        <v>168254.4</v>
      </c>
      <c r="F471" s="19">
        <f t="shared" ref="F471:G471" si="188">F472+F473+F474</f>
        <v>125563.19999999998</v>
      </c>
      <c r="G471" s="19">
        <f t="shared" si="188"/>
        <v>129517.3</v>
      </c>
    </row>
    <row r="472" spans="1:7" ht="94.5" outlineLevel="2" x14ac:dyDescent="0.25">
      <c r="A472" s="49" t="s">
        <v>75</v>
      </c>
      <c r="B472" s="23" t="s">
        <v>89</v>
      </c>
      <c r="C472" s="23" t="s">
        <v>445</v>
      </c>
      <c r="D472" s="24">
        <v>100</v>
      </c>
      <c r="E472" s="19">
        <f>72196.8+21699.1</f>
        <v>93895.9</v>
      </c>
      <c r="F472" s="19">
        <f>75084.7+22567.1</f>
        <v>97651.799999999988</v>
      </c>
      <c r="G472" s="19">
        <f>78088.1+23469.8</f>
        <v>101557.90000000001</v>
      </c>
    </row>
    <row r="473" spans="1:7" ht="31.5" outlineLevel="2" x14ac:dyDescent="0.25">
      <c r="A473" s="17" t="s">
        <v>76</v>
      </c>
      <c r="B473" s="23" t="s">
        <v>89</v>
      </c>
      <c r="C473" s="23" t="s">
        <v>445</v>
      </c>
      <c r="D473" s="24">
        <v>200</v>
      </c>
      <c r="E473" s="19">
        <f>4391.6+280.2+1035.4</f>
        <v>5707.2000000000007</v>
      </c>
      <c r="F473" s="19">
        <v>4273.3999999999996</v>
      </c>
      <c r="G473" s="19">
        <v>4321.3999999999996</v>
      </c>
    </row>
    <row r="474" spans="1:7" outlineLevel="2" x14ac:dyDescent="0.25">
      <c r="A474" s="22" t="s">
        <v>33</v>
      </c>
      <c r="B474" s="23" t="s">
        <v>89</v>
      </c>
      <c r="C474" s="23" t="s">
        <v>445</v>
      </c>
      <c r="D474" s="24">
        <v>800</v>
      </c>
      <c r="E474" s="19">
        <f>23638+45013.3</f>
        <v>68651.3</v>
      </c>
      <c r="F474" s="19">
        <v>23638</v>
      </c>
      <c r="G474" s="19">
        <v>23638</v>
      </c>
    </row>
    <row r="475" spans="1:7" x14ac:dyDescent="0.25">
      <c r="A475" s="13" t="s">
        <v>446</v>
      </c>
      <c r="B475" s="14" t="s">
        <v>447</v>
      </c>
      <c r="C475" s="14"/>
      <c r="D475" s="15"/>
      <c r="E475" s="16">
        <f t="shared" ref="E475:G480" si="189">E476</f>
        <v>24444.800000000003</v>
      </c>
      <c r="F475" s="16">
        <f t="shared" si="189"/>
        <v>20582.900000000001</v>
      </c>
      <c r="G475" s="16">
        <f t="shared" si="189"/>
        <v>20582.900000000001</v>
      </c>
    </row>
    <row r="476" spans="1:7" ht="31.5" outlineLevel="1" x14ac:dyDescent="0.25">
      <c r="A476" s="20" t="s">
        <v>448</v>
      </c>
      <c r="B476" s="18" t="s">
        <v>449</v>
      </c>
      <c r="C476" s="18"/>
      <c r="D476" s="9"/>
      <c r="E476" s="19">
        <f t="shared" si="189"/>
        <v>24444.800000000003</v>
      </c>
      <c r="F476" s="19">
        <f t="shared" si="189"/>
        <v>20582.900000000001</v>
      </c>
      <c r="G476" s="19">
        <f t="shared" si="189"/>
        <v>20582.900000000001</v>
      </c>
    </row>
    <row r="477" spans="1:7" ht="47.25" outlineLevel="2" x14ac:dyDescent="0.25">
      <c r="A477" s="33" t="s">
        <v>371</v>
      </c>
      <c r="B477" s="18" t="s">
        <v>449</v>
      </c>
      <c r="C477" s="18" t="s">
        <v>372</v>
      </c>
      <c r="D477" s="9"/>
      <c r="E477" s="19">
        <f t="shared" si="189"/>
        <v>24444.800000000003</v>
      </c>
      <c r="F477" s="19">
        <f t="shared" si="189"/>
        <v>20582.900000000001</v>
      </c>
      <c r="G477" s="19">
        <f t="shared" si="189"/>
        <v>20582.900000000001</v>
      </c>
    </row>
    <row r="478" spans="1:7" outlineLevel="2" x14ac:dyDescent="0.25">
      <c r="A478" s="33" t="s">
        <v>144</v>
      </c>
      <c r="B478" s="30" t="s">
        <v>449</v>
      </c>
      <c r="C478" s="30" t="s">
        <v>408</v>
      </c>
      <c r="D478" s="24"/>
      <c r="E478" s="19">
        <f t="shared" si="189"/>
        <v>24444.800000000003</v>
      </c>
      <c r="F478" s="19">
        <f t="shared" si="189"/>
        <v>20582.900000000001</v>
      </c>
      <c r="G478" s="19">
        <f t="shared" si="189"/>
        <v>20582.900000000001</v>
      </c>
    </row>
    <row r="479" spans="1:7" ht="47.25" outlineLevel="2" x14ac:dyDescent="0.25">
      <c r="A479" s="33" t="s">
        <v>409</v>
      </c>
      <c r="B479" s="30" t="s">
        <v>449</v>
      </c>
      <c r="C479" s="30" t="s">
        <v>410</v>
      </c>
      <c r="D479" s="24"/>
      <c r="E479" s="19">
        <f t="shared" si="189"/>
        <v>24444.800000000003</v>
      </c>
      <c r="F479" s="19">
        <f t="shared" si="189"/>
        <v>20582.900000000001</v>
      </c>
      <c r="G479" s="19">
        <f t="shared" si="189"/>
        <v>20582.900000000001</v>
      </c>
    </row>
    <row r="480" spans="1:7" outlineLevel="2" x14ac:dyDescent="0.25">
      <c r="A480" s="40" t="s">
        <v>450</v>
      </c>
      <c r="B480" s="23" t="s">
        <v>449</v>
      </c>
      <c r="C480" s="23" t="s">
        <v>451</v>
      </c>
      <c r="D480" s="9"/>
      <c r="E480" s="19">
        <f t="shared" si="189"/>
        <v>24444.800000000003</v>
      </c>
      <c r="F480" s="19">
        <f t="shared" si="189"/>
        <v>20582.900000000001</v>
      </c>
      <c r="G480" s="19">
        <f t="shared" si="189"/>
        <v>20582.900000000001</v>
      </c>
    </row>
    <row r="481" spans="1:7" ht="47.25" outlineLevel="2" x14ac:dyDescent="0.25">
      <c r="A481" s="20" t="s">
        <v>94</v>
      </c>
      <c r="B481" s="23" t="s">
        <v>449</v>
      </c>
      <c r="C481" s="23" t="s">
        <v>451</v>
      </c>
      <c r="D481" s="9">
        <v>600</v>
      </c>
      <c r="E481" s="19">
        <f>20582.9+3861.9</f>
        <v>24444.800000000003</v>
      </c>
      <c r="F481" s="19">
        <v>20582.900000000001</v>
      </c>
      <c r="G481" s="19">
        <v>20582.900000000001</v>
      </c>
    </row>
    <row r="482" spans="1:7" x14ac:dyDescent="0.25">
      <c r="A482" s="13" t="s">
        <v>90</v>
      </c>
      <c r="B482" s="14" t="s">
        <v>91</v>
      </c>
      <c r="C482" s="38"/>
      <c r="D482" s="16"/>
      <c r="E482" s="100">
        <f>E483+E505+E570+E589+E607</f>
        <v>6388593.1000000006</v>
      </c>
      <c r="F482" s="100">
        <f>F483+F505+F570+F589+F607</f>
        <v>6263650.0999999987</v>
      </c>
      <c r="G482" s="100">
        <f>G483+G505+G570+G589+G607</f>
        <v>6599052.2999999989</v>
      </c>
    </row>
    <row r="483" spans="1:7" outlineLevel="1" x14ac:dyDescent="0.25">
      <c r="A483" s="20" t="s">
        <v>92</v>
      </c>
      <c r="B483" s="18" t="s">
        <v>93</v>
      </c>
      <c r="C483" s="18"/>
      <c r="D483" s="9"/>
      <c r="E483" s="19">
        <f>E484</f>
        <v>2113930.9</v>
      </c>
      <c r="F483" s="19">
        <f t="shared" ref="F483:G483" si="190">F484</f>
        <v>2167504.1999999997</v>
      </c>
      <c r="G483" s="19">
        <f t="shared" si="190"/>
        <v>2177770.1999999997</v>
      </c>
    </row>
    <row r="484" spans="1:7" ht="31.5" outlineLevel="2" x14ac:dyDescent="0.25">
      <c r="A484" s="20" t="s">
        <v>209</v>
      </c>
      <c r="B484" s="18" t="s">
        <v>93</v>
      </c>
      <c r="C484" s="18" t="s">
        <v>210</v>
      </c>
      <c r="D484" s="9"/>
      <c r="E484" s="19">
        <f>E485+E491</f>
        <v>2113930.9</v>
      </c>
      <c r="F484" s="19">
        <f t="shared" ref="F484:G484" si="191">F485+F491</f>
        <v>2167504.1999999997</v>
      </c>
      <c r="G484" s="19">
        <f t="shared" si="191"/>
        <v>2177770.1999999997</v>
      </c>
    </row>
    <row r="485" spans="1:7" ht="31.5" outlineLevel="2" x14ac:dyDescent="0.25">
      <c r="A485" s="20" t="s">
        <v>155</v>
      </c>
      <c r="B485" s="18" t="s">
        <v>93</v>
      </c>
      <c r="C485" s="18" t="s">
        <v>211</v>
      </c>
      <c r="D485" s="9"/>
      <c r="E485" s="19">
        <f>E486</f>
        <v>4000</v>
      </c>
      <c r="F485" s="19">
        <f t="shared" ref="F485:G485" si="192">F486</f>
        <v>16606.8</v>
      </c>
      <c r="G485" s="19">
        <f t="shared" si="192"/>
        <v>18845.8</v>
      </c>
    </row>
    <row r="486" spans="1:7" ht="47.25" outlineLevel="2" x14ac:dyDescent="0.25">
      <c r="A486" s="33" t="s">
        <v>212</v>
      </c>
      <c r="B486" s="18" t="s">
        <v>93</v>
      </c>
      <c r="C486" s="18" t="s">
        <v>213</v>
      </c>
      <c r="D486" s="9"/>
      <c r="E486" s="19">
        <f>E487+E489</f>
        <v>4000</v>
      </c>
      <c r="F486" s="19">
        <f t="shared" ref="F486:G486" si="193">F487+F489</f>
        <v>16606.8</v>
      </c>
      <c r="G486" s="19">
        <f t="shared" si="193"/>
        <v>18845.8</v>
      </c>
    </row>
    <row r="487" spans="1:7" ht="31.5" outlineLevel="2" x14ac:dyDescent="0.25">
      <c r="A487" s="17" t="s">
        <v>214</v>
      </c>
      <c r="B487" s="18" t="s">
        <v>93</v>
      </c>
      <c r="C487" s="18" t="s">
        <v>215</v>
      </c>
      <c r="D487" s="18"/>
      <c r="E487" s="19">
        <f>E488</f>
        <v>4000</v>
      </c>
      <c r="F487" s="19">
        <f t="shared" ref="F487:G487" si="194">F488</f>
        <v>0</v>
      </c>
      <c r="G487" s="19">
        <f t="shared" si="194"/>
        <v>0</v>
      </c>
    </row>
    <row r="488" spans="1:7" ht="47.25" outlineLevel="2" x14ac:dyDescent="0.25">
      <c r="A488" s="17" t="s">
        <v>94</v>
      </c>
      <c r="B488" s="18" t="s">
        <v>93</v>
      </c>
      <c r="C488" s="18" t="s">
        <v>215</v>
      </c>
      <c r="D488" s="18" t="s">
        <v>95</v>
      </c>
      <c r="E488" s="19">
        <f>606.4+9500-366.4-5740</f>
        <v>4000</v>
      </c>
      <c r="F488" s="19">
        <v>0</v>
      </c>
      <c r="G488" s="19">
        <v>0</v>
      </c>
    </row>
    <row r="489" spans="1:7" ht="47.25" outlineLevel="2" x14ac:dyDescent="0.25">
      <c r="A489" s="17" t="s">
        <v>633</v>
      </c>
      <c r="B489" s="18" t="s">
        <v>93</v>
      </c>
      <c r="C489" s="18" t="s">
        <v>634</v>
      </c>
      <c r="D489" s="18"/>
      <c r="E489" s="19">
        <v>0</v>
      </c>
      <c r="F489" s="19">
        <v>16606.8</v>
      </c>
      <c r="G489" s="19">
        <v>18845.8</v>
      </c>
    </row>
    <row r="490" spans="1:7" ht="47.25" outlineLevel="2" x14ac:dyDescent="0.25">
      <c r="A490" s="17" t="s">
        <v>94</v>
      </c>
      <c r="B490" s="18" t="s">
        <v>93</v>
      </c>
      <c r="C490" s="18" t="s">
        <v>634</v>
      </c>
      <c r="D490" s="18" t="s">
        <v>95</v>
      </c>
      <c r="E490" s="19">
        <v>0</v>
      </c>
      <c r="F490" s="19">
        <v>16606.8</v>
      </c>
      <c r="G490" s="19">
        <v>18845.8</v>
      </c>
    </row>
    <row r="491" spans="1:7" outlineLevel="2" x14ac:dyDescent="0.25">
      <c r="A491" s="20" t="s">
        <v>144</v>
      </c>
      <c r="B491" s="18" t="s">
        <v>93</v>
      </c>
      <c r="C491" s="18" t="s">
        <v>216</v>
      </c>
      <c r="D491" s="9"/>
      <c r="E491" s="19">
        <f>E492+E500</f>
        <v>2109930.9</v>
      </c>
      <c r="F491" s="19">
        <f t="shared" ref="F491:G491" si="195">F492+F500</f>
        <v>2150897.4</v>
      </c>
      <c r="G491" s="19">
        <f t="shared" si="195"/>
        <v>2158924.4</v>
      </c>
    </row>
    <row r="492" spans="1:7" ht="63" outlineLevel="2" x14ac:dyDescent="0.25">
      <c r="A492" s="34" t="s">
        <v>496</v>
      </c>
      <c r="B492" s="18" t="s">
        <v>93</v>
      </c>
      <c r="C492" s="18" t="s">
        <v>217</v>
      </c>
      <c r="D492" s="9"/>
      <c r="E492" s="19">
        <f>E493+E495+E498</f>
        <v>2108424.7999999998</v>
      </c>
      <c r="F492" s="19">
        <f t="shared" ref="F492:G492" si="196">F493+F495+F498</f>
        <v>2149521.5</v>
      </c>
      <c r="G492" s="19">
        <f t="shared" si="196"/>
        <v>2157548.5</v>
      </c>
    </row>
    <row r="493" spans="1:7" ht="47.25" outlineLevel="2" x14ac:dyDescent="0.25">
      <c r="A493" s="8" t="s">
        <v>151</v>
      </c>
      <c r="B493" s="18" t="s">
        <v>93</v>
      </c>
      <c r="C493" s="18" t="s">
        <v>218</v>
      </c>
      <c r="D493" s="9"/>
      <c r="E493" s="19">
        <f>E494</f>
        <v>922063.2</v>
      </c>
      <c r="F493" s="19">
        <f t="shared" ref="F493:G493" si="197">F494</f>
        <v>897966.2</v>
      </c>
      <c r="G493" s="19">
        <f t="shared" si="197"/>
        <v>905993.2</v>
      </c>
    </row>
    <row r="494" spans="1:7" ht="47.25" outlineLevel="2" x14ac:dyDescent="0.25">
      <c r="A494" s="20" t="s">
        <v>94</v>
      </c>
      <c r="B494" s="18" t="s">
        <v>93</v>
      </c>
      <c r="C494" s="18" t="s">
        <v>218</v>
      </c>
      <c r="D494" s="9">
        <v>600</v>
      </c>
      <c r="E494" s="19">
        <f>888230.5+1850+70.1+1200+30712.6</f>
        <v>922063.2</v>
      </c>
      <c r="F494" s="19">
        <v>897966.2</v>
      </c>
      <c r="G494" s="19">
        <f>907397.5-1404.3</f>
        <v>905993.2</v>
      </c>
    </row>
    <row r="495" spans="1:7" ht="78.75" outlineLevel="2" x14ac:dyDescent="0.25">
      <c r="A495" s="33" t="s">
        <v>219</v>
      </c>
      <c r="B495" s="18" t="s">
        <v>93</v>
      </c>
      <c r="C495" s="18" t="s">
        <v>220</v>
      </c>
      <c r="D495" s="9"/>
      <c r="E495" s="19">
        <f>E496+E497</f>
        <v>17791.7</v>
      </c>
      <c r="F495" s="19">
        <f t="shared" ref="F495:G495" si="198">F496+F497</f>
        <v>17791.7</v>
      </c>
      <c r="G495" s="19">
        <f t="shared" si="198"/>
        <v>17791.7</v>
      </c>
    </row>
    <row r="496" spans="1:7" ht="47.25" outlineLevel="2" x14ac:dyDescent="0.25">
      <c r="A496" s="20" t="s">
        <v>94</v>
      </c>
      <c r="B496" s="18" t="s">
        <v>93</v>
      </c>
      <c r="C496" s="18" t="s">
        <v>220</v>
      </c>
      <c r="D496" s="9">
        <v>600</v>
      </c>
      <c r="E496" s="19">
        <f>1152+8416.8-2745-1323.8+8.4+131.6</f>
        <v>5639.9999999999991</v>
      </c>
      <c r="F496" s="19">
        <v>8160.5</v>
      </c>
      <c r="G496" s="19">
        <v>8160.5</v>
      </c>
    </row>
    <row r="497" spans="1:7" outlineLevel="2" x14ac:dyDescent="0.25">
      <c r="A497" s="17" t="s">
        <v>33</v>
      </c>
      <c r="B497" s="18" t="s">
        <v>93</v>
      </c>
      <c r="C497" s="18" t="s">
        <v>220</v>
      </c>
      <c r="D497" s="9">
        <v>800</v>
      </c>
      <c r="E497" s="19">
        <f>9631.2+2660.5-8.4-131.6</f>
        <v>12151.7</v>
      </c>
      <c r="F497" s="19">
        <v>9631.2000000000007</v>
      </c>
      <c r="G497" s="19">
        <v>9631.2000000000007</v>
      </c>
    </row>
    <row r="498" spans="1:7" ht="204.75" outlineLevel="2" x14ac:dyDescent="0.25">
      <c r="A498" s="33" t="s">
        <v>221</v>
      </c>
      <c r="B498" s="18" t="s">
        <v>93</v>
      </c>
      <c r="C498" s="18" t="s">
        <v>222</v>
      </c>
      <c r="D498" s="9"/>
      <c r="E498" s="19">
        <f t="shared" ref="E498:G498" si="199">E499</f>
        <v>1168569.8999999999</v>
      </c>
      <c r="F498" s="19">
        <f t="shared" si="199"/>
        <v>1233763.6000000001</v>
      </c>
      <c r="G498" s="19">
        <f t="shared" si="199"/>
        <v>1233763.6000000001</v>
      </c>
    </row>
    <row r="499" spans="1:7" ht="47.25" outlineLevel="2" x14ac:dyDescent="0.25">
      <c r="A499" s="20" t="s">
        <v>94</v>
      </c>
      <c r="B499" s="18" t="s">
        <v>93</v>
      </c>
      <c r="C499" s="18" t="s">
        <v>222</v>
      </c>
      <c r="D499" s="18" t="s">
        <v>95</v>
      </c>
      <c r="E499" s="19">
        <f>1038369.9+130200</f>
        <v>1168569.8999999999</v>
      </c>
      <c r="F499" s="19">
        <v>1233763.6000000001</v>
      </c>
      <c r="G499" s="19">
        <v>1233763.6000000001</v>
      </c>
    </row>
    <row r="500" spans="1:7" ht="63" outlineLevel="2" x14ac:dyDescent="0.25">
      <c r="A500" s="33" t="s">
        <v>490</v>
      </c>
      <c r="B500" s="18" t="s">
        <v>93</v>
      </c>
      <c r="C500" s="18" t="s">
        <v>223</v>
      </c>
      <c r="D500" s="18"/>
      <c r="E500" s="19">
        <f>E503+E501</f>
        <v>1506.1000000000001</v>
      </c>
      <c r="F500" s="19">
        <f>F503</f>
        <v>1375.9</v>
      </c>
      <c r="G500" s="19">
        <f>G503</f>
        <v>1375.9</v>
      </c>
    </row>
    <row r="501" spans="1:7" ht="31.5" outlineLevel="2" x14ac:dyDescent="0.25">
      <c r="A501" s="90" t="s">
        <v>250</v>
      </c>
      <c r="B501" s="76" t="s">
        <v>93</v>
      </c>
      <c r="C501" s="76" t="s">
        <v>251</v>
      </c>
      <c r="D501" s="76"/>
      <c r="E501" s="19">
        <f>E502</f>
        <v>130.19999999999999</v>
      </c>
      <c r="F501" s="19">
        <f t="shared" ref="F501:G501" si="200">F502</f>
        <v>0</v>
      </c>
      <c r="G501" s="19">
        <f t="shared" si="200"/>
        <v>0</v>
      </c>
    </row>
    <row r="502" spans="1:7" ht="47.25" outlineLevel="2" x14ac:dyDescent="0.25">
      <c r="A502" s="91" t="s">
        <v>94</v>
      </c>
      <c r="B502" s="76" t="s">
        <v>93</v>
      </c>
      <c r="C502" s="76" t="s">
        <v>251</v>
      </c>
      <c r="D502" s="76">
        <v>600</v>
      </c>
      <c r="E502" s="19">
        <v>130.19999999999999</v>
      </c>
      <c r="F502" s="19">
        <v>0</v>
      </c>
      <c r="G502" s="19">
        <v>0</v>
      </c>
    </row>
    <row r="503" spans="1:7" ht="47.25" outlineLevel="2" x14ac:dyDescent="0.25">
      <c r="A503" s="53" t="s">
        <v>224</v>
      </c>
      <c r="B503" s="54" t="s">
        <v>93</v>
      </c>
      <c r="C503" s="55" t="s">
        <v>225</v>
      </c>
      <c r="D503" s="54"/>
      <c r="E503" s="19">
        <f>E504</f>
        <v>1375.9</v>
      </c>
      <c r="F503" s="19">
        <f t="shared" ref="F503:G503" si="201">F504</f>
        <v>1375.9</v>
      </c>
      <c r="G503" s="19">
        <f t="shared" si="201"/>
        <v>1375.9</v>
      </c>
    </row>
    <row r="504" spans="1:7" ht="47.25" outlineLevel="2" x14ac:dyDescent="0.25">
      <c r="A504" s="20" t="s">
        <v>94</v>
      </c>
      <c r="B504" s="54" t="s">
        <v>93</v>
      </c>
      <c r="C504" s="55" t="s">
        <v>225</v>
      </c>
      <c r="D504" s="54">
        <v>600</v>
      </c>
      <c r="E504" s="19">
        <v>1375.9</v>
      </c>
      <c r="F504" s="19">
        <v>1375.9</v>
      </c>
      <c r="G504" s="19">
        <v>1375.9</v>
      </c>
    </row>
    <row r="505" spans="1:7" outlineLevel="1" x14ac:dyDescent="0.25">
      <c r="A505" s="20" t="s">
        <v>226</v>
      </c>
      <c r="B505" s="18" t="s">
        <v>227</v>
      </c>
      <c r="C505" s="18"/>
      <c r="D505" s="9"/>
      <c r="E505" s="19">
        <f>E506</f>
        <v>3357609.9000000004</v>
      </c>
      <c r="F505" s="19">
        <f t="shared" ref="F505:G505" si="202">F506</f>
        <v>3347450.8999999994</v>
      </c>
      <c r="G505" s="19">
        <f t="shared" si="202"/>
        <v>3648670.5</v>
      </c>
    </row>
    <row r="506" spans="1:7" ht="31.5" outlineLevel="2" x14ac:dyDescent="0.25">
      <c r="A506" s="20" t="s">
        <v>209</v>
      </c>
      <c r="B506" s="18" t="s">
        <v>227</v>
      </c>
      <c r="C506" s="18" t="s">
        <v>210</v>
      </c>
      <c r="D506" s="9"/>
      <c r="E506" s="19">
        <f>E507+E529+E519</f>
        <v>3357609.9000000004</v>
      </c>
      <c r="F506" s="19">
        <f t="shared" ref="F506:G506" si="203">F507+F529+F519</f>
        <v>3347450.8999999994</v>
      </c>
      <c r="G506" s="19">
        <f t="shared" si="203"/>
        <v>3648670.5</v>
      </c>
    </row>
    <row r="507" spans="1:7" outlineLevel="2" x14ac:dyDescent="0.25">
      <c r="A507" s="20" t="s">
        <v>228</v>
      </c>
      <c r="B507" s="18" t="s">
        <v>227</v>
      </c>
      <c r="C507" s="18" t="s">
        <v>229</v>
      </c>
      <c r="D507" s="9"/>
      <c r="E507" s="19">
        <f>E508+E512</f>
        <v>137093.6</v>
      </c>
      <c r="F507" s="19">
        <f t="shared" ref="F507:G507" si="204">F508+F512</f>
        <v>156407.1</v>
      </c>
      <c r="G507" s="19">
        <f t="shared" si="204"/>
        <v>254952.30000000002</v>
      </c>
    </row>
    <row r="508" spans="1:7" outlineLevel="2" x14ac:dyDescent="0.25">
      <c r="A508" s="8" t="s">
        <v>635</v>
      </c>
      <c r="B508" s="18" t="s">
        <v>227</v>
      </c>
      <c r="C508" s="30" t="s">
        <v>638</v>
      </c>
      <c r="D508" s="9"/>
      <c r="E508" s="19">
        <f>E509</f>
        <v>0</v>
      </c>
      <c r="F508" s="19">
        <f t="shared" ref="F508:G508" si="205">F509</f>
        <v>19313.5</v>
      </c>
      <c r="G508" s="19">
        <f t="shared" si="205"/>
        <v>117858.70000000001</v>
      </c>
    </row>
    <row r="509" spans="1:7" outlineLevel="2" x14ac:dyDescent="0.25">
      <c r="A509" s="8" t="s">
        <v>635</v>
      </c>
      <c r="B509" s="18" t="s">
        <v>227</v>
      </c>
      <c r="C509" s="18" t="s">
        <v>636</v>
      </c>
      <c r="D509" s="9"/>
      <c r="E509" s="19">
        <f>E510</f>
        <v>0</v>
      </c>
      <c r="F509" s="19">
        <f>F510</f>
        <v>19313.5</v>
      </c>
      <c r="G509" s="19">
        <f>G510</f>
        <v>117858.70000000001</v>
      </c>
    </row>
    <row r="510" spans="1:7" ht="78.75" outlineLevel="2" x14ac:dyDescent="0.25">
      <c r="A510" s="8" t="s">
        <v>637</v>
      </c>
      <c r="B510" s="18" t="s">
        <v>227</v>
      </c>
      <c r="C510" s="18" t="s">
        <v>636</v>
      </c>
      <c r="D510" s="9"/>
      <c r="E510" s="19">
        <f>+E511</f>
        <v>0</v>
      </c>
      <c r="F510" s="19">
        <v>19313.5</v>
      </c>
      <c r="G510" s="19">
        <v>117858.70000000001</v>
      </c>
    </row>
    <row r="511" spans="1:7" ht="47.25" outlineLevel="2" x14ac:dyDescent="0.25">
      <c r="A511" s="8" t="s">
        <v>94</v>
      </c>
      <c r="B511" s="18" t="s">
        <v>227</v>
      </c>
      <c r="C511" s="18" t="s">
        <v>636</v>
      </c>
      <c r="D511" s="9">
        <v>600</v>
      </c>
      <c r="E511" s="19">
        <v>0</v>
      </c>
      <c r="F511" s="19">
        <v>19313.5</v>
      </c>
      <c r="G511" s="19">
        <v>117858.70000000001</v>
      </c>
    </row>
    <row r="512" spans="1:7" ht="31.5" outlineLevel="2" x14ac:dyDescent="0.25">
      <c r="A512" s="20" t="s">
        <v>621</v>
      </c>
      <c r="B512" s="18" t="s">
        <v>227</v>
      </c>
      <c r="C512" s="18" t="s">
        <v>622</v>
      </c>
      <c r="D512" s="9"/>
      <c r="E512" s="19">
        <f>E513+E515+E517</f>
        <v>137093.6</v>
      </c>
      <c r="F512" s="19">
        <f t="shared" ref="F512:G512" si="206">F513+F515+F517</f>
        <v>137093.6</v>
      </c>
      <c r="G512" s="19">
        <f t="shared" si="206"/>
        <v>137093.6</v>
      </c>
    </row>
    <row r="513" spans="1:9" ht="189" outlineLevel="2" x14ac:dyDescent="0.25">
      <c r="A513" s="8" t="s">
        <v>617</v>
      </c>
      <c r="B513" s="18" t="s">
        <v>227</v>
      </c>
      <c r="C513" s="18" t="s">
        <v>618</v>
      </c>
      <c r="D513" s="18"/>
      <c r="E513" s="19">
        <f>E514</f>
        <v>2460.8000000000002</v>
      </c>
      <c r="F513" s="19">
        <f t="shared" ref="F513:G513" si="207">F514</f>
        <v>2460.8000000000002</v>
      </c>
      <c r="G513" s="19">
        <f t="shared" si="207"/>
        <v>2460.8000000000002</v>
      </c>
    </row>
    <row r="514" spans="1:9" ht="47.25" outlineLevel="2" x14ac:dyDescent="0.25">
      <c r="A514" s="17" t="s">
        <v>94</v>
      </c>
      <c r="B514" s="18" t="s">
        <v>227</v>
      </c>
      <c r="C514" s="18" t="s">
        <v>618</v>
      </c>
      <c r="D514" s="18" t="s">
        <v>95</v>
      </c>
      <c r="E514" s="19">
        <v>2460.8000000000002</v>
      </c>
      <c r="F514" s="19">
        <v>2460.8000000000002</v>
      </c>
      <c r="G514" s="19">
        <v>2460.8000000000002</v>
      </c>
    </row>
    <row r="515" spans="1:9" ht="78.75" outlineLevel="2" x14ac:dyDescent="0.25">
      <c r="A515" s="22" t="s">
        <v>230</v>
      </c>
      <c r="B515" s="18" t="s">
        <v>227</v>
      </c>
      <c r="C515" s="18" t="s">
        <v>619</v>
      </c>
      <c r="D515" s="18"/>
      <c r="E515" s="19">
        <f>E516</f>
        <v>7844</v>
      </c>
      <c r="F515" s="19">
        <f t="shared" ref="F515:G515" si="208">F516</f>
        <v>7844.0000000000009</v>
      </c>
      <c r="G515" s="19">
        <f t="shared" si="208"/>
        <v>7844.0000000000009</v>
      </c>
    </row>
    <row r="516" spans="1:9" ht="47.25" outlineLevel="2" x14ac:dyDescent="0.25">
      <c r="A516" s="17" t="s">
        <v>94</v>
      </c>
      <c r="B516" s="18" t="s">
        <v>227</v>
      </c>
      <c r="C516" s="18" t="s">
        <v>619</v>
      </c>
      <c r="D516" s="18" t="s">
        <v>95</v>
      </c>
      <c r="E516" s="19">
        <v>7844</v>
      </c>
      <c r="F516" s="19">
        <v>7844.0000000000009</v>
      </c>
      <c r="G516" s="19">
        <v>7844.0000000000009</v>
      </c>
    </row>
    <row r="517" spans="1:9" ht="141.75" outlineLevel="2" x14ac:dyDescent="0.25">
      <c r="A517" s="20" t="s">
        <v>243</v>
      </c>
      <c r="B517" s="18" t="s">
        <v>227</v>
      </c>
      <c r="C517" s="18" t="s">
        <v>620</v>
      </c>
      <c r="D517" s="18"/>
      <c r="E517" s="19">
        <f>E518</f>
        <v>126788.8</v>
      </c>
      <c r="F517" s="19">
        <f t="shared" ref="F517:G517" si="209">F518</f>
        <v>126788.8</v>
      </c>
      <c r="G517" s="19">
        <f t="shared" si="209"/>
        <v>126788.8</v>
      </c>
    </row>
    <row r="518" spans="1:9" ht="47.25" outlineLevel="2" x14ac:dyDescent="0.25">
      <c r="A518" s="20" t="s">
        <v>94</v>
      </c>
      <c r="B518" s="18" t="s">
        <v>227</v>
      </c>
      <c r="C518" s="18" t="s">
        <v>620</v>
      </c>
      <c r="D518" s="18" t="s">
        <v>95</v>
      </c>
      <c r="E518" s="19">
        <v>126788.8</v>
      </c>
      <c r="F518" s="19">
        <v>126788.8</v>
      </c>
      <c r="G518" s="19">
        <v>126788.8</v>
      </c>
    </row>
    <row r="519" spans="1:9" ht="31.5" outlineLevel="2" x14ac:dyDescent="0.25">
      <c r="A519" s="20" t="s">
        <v>155</v>
      </c>
      <c r="B519" s="18" t="s">
        <v>227</v>
      </c>
      <c r="C519" s="18" t="s">
        <v>211</v>
      </c>
      <c r="D519" s="9"/>
      <c r="E519" s="19">
        <f>E520</f>
        <v>574967.49999999988</v>
      </c>
      <c r="F519" s="19">
        <f>F520</f>
        <v>569215.69999999995</v>
      </c>
      <c r="G519" s="19">
        <f>G520</f>
        <v>560885.69999999995</v>
      </c>
    </row>
    <row r="520" spans="1:9" ht="47.25" outlineLevel="2" x14ac:dyDescent="0.25">
      <c r="A520" s="33" t="s">
        <v>212</v>
      </c>
      <c r="B520" s="18" t="s">
        <v>227</v>
      </c>
      <c r="C520" s="18" t="s">
        <v>213</v>
      </c>
      <c r="D520" s="9"/>
      <c r="E520" s="19">
        <f>E521+E525+E527</f>
        <v>574967.49999999988</v>
      </c>
      <c r="F520" s="19">
        <f>F521+F524+F526</f>
        <v>569215.69999999995</v>
      </c>
      <c r="G520" s="19">
        <f>G521+G524+G526</f>
        <v>560885.69999999995</v>
      </c>
    </row>
    <row r="521" spans="1:9" ht="63" outlineLevel="2" x14ac:dyDescent="0.25">
      <c r="A521" s="20" t="s">
        <v>231</v>
      </c>
      <c r="B521" s="18" t="s">
        <v>227</v>
      </c>
      <c r="C521" s="18" t="s">
        <v>623</v>
      </c>
      <c r="D521" s="18"/>
      <c r="E521" s="19">
        <f>E522</f>
        <v>571791.19999999995</v>
      </c>
      <c r="F521" s="19">
        <f t="shared" ref="F521:G521" si="210">F522</f>
        <v>547631.69999999995</v>
      </c>
      <c r="G521" s="19">
        <f t="shared" si="210"/>
        <v>547722.79999999993</v>
      </c>
      <c r="I521" s="56"/>
    </row>
    <row r="522" spans="1:9" outlineLevel="2" x14ac:dyDescent="0.25">
      <c r="A522" s="2" t="s">
        <v>33</v>
      </c>
      <c r="B522" s="18" t="s">
        <v>227</v>
      </c>
      <c r="C522" s="18" t="s">
        <v>623</v>
      </c>
      <c r="D522" s="18" t="s">
        <v>532</v>
      </c>
      <c r="E522" s="19">
        <f>528463.6+43327.7-0.1</f>
        <v>571791.19999999995</v>
      </c>
      <c r="F522" s="19">
        <v>547631.69999999995</v>
      </c>
      <c r="G522" s="19">
        <v>547722.79999999993</v>
      </c>
    </row>
    <row r="523" spans="1:9" ht="47.25" outlineLevel="2" x14ac:dyDescent="0.25">
      <c r="A523" s="2" t="s">
        <v>633</v>
      </c>
      <c r="B523" s="18" t="s">
        <v>227</v>
      </c>
      <c r="C523" s="18" t="s">
        <v>634</v>
      </c>
      <c r="D523" s="18"/>
      <c r="E523" s="19">
        <f>E524</f>
        <v>0</v>
      </c>
      <c r="F523" s="19">
        <f>F524</f>
        <v>19456.300000000003</v>
      </c>
      <c r="G523" s="19">
        <f>G524</f>
        <v>8907.6</v>
      </c>
    </row>
    <row r="524" spans="1:9" ht="47.25" outlineLevel="2" x14ac:dyDescent="0.25">
      <c r="A524" s="2" t="s">
        <v>94</v>
      </c>
      <c r="B524" s="18" t="s">
        <v>227</v>
      </c>
      <c r="C524" s="18" t="s">
        <v>634</v>
      </c>
      <c r="D524" s="18" t="s">
        <v>95</v>
      </c>
      <c r="E524" s="19">
        <v>0</v>
      </c>
      <c r="F524" s="19">
        <v>19456.300000000003</v>
      </c>
      <c r="G524" s="19">
        <v>8907.6</v>
      </c>
    </row>
    <row r="525" spans="1:9" ht="47.25" outlineLevel="2" x14ac:dyDescent="0.25">
      <c r="A525" s="2" t="s">
        <v>232</v>
      </c>
      <c r="B525" s="18" t="s">
        <v>227</v>
      </c>
      <c r="C525" s="18" t="s">
        <v>233</v>
      </c>
      <c r="D525" s="18"/>
      <c r="E525" s="19">
        <f>E526</f>
        <v>2127.6999999999998</v>
      </c>
      <c r="F525" s="19">
        <f>F526</f>
        <v>2127.6999999999998</v>
      </c>
      <c r="G525" s="19">
        <f>G526</f>
        <v>4255.2999999999993</v>
      </c>
    </row>
    <row r="526" spans="1:9" ht="47.25" outlineLevel="2" x14ac:dyDescent="0.25">
      <c r="A526" s="2" t="s">
        <v>94</v>
      </c>
      <c r="B526" s="18" t="s">
        <v>227</v>
      </c>
      <c r="C526" s="18" t="s">
        <v>233</v>
      </c>
      <c r="D526" s="18" t="s">
        <v>95</v>
      </c>
      <c r="E526" s="19">
        <v>2127.6999999999998</v>
      </c>
      <c r="F526" s="19">
        <v>2127.6999999999998</v>
      </c>
      <c r="G526" s="19">
        <v>4255.2999999999993</v>
      </c>
    </row>
    <row r="527" spans="1:9" ht="31.5" outlineLevel="2" x14ac:dyDescent="0.25">
      <c r="A527" s="34" t="s">
        <v>603</v>
      </c>
      <c r="B527" s="18" t="s">
        <v>227</v>
      </c>
      <c r="C527" s="18" t="s">
        <v>604</v>
      </c>
      <c r="D527" s="18"/>
      <c r="E527" s="19">
        <f>E528</f>
        <v>1048.6000000000001</v>
      </c>
      <c r="F527" s="19">
        <f t="shared" ref="F527:G527" si="211">F528</f>
        <v>0</v>
      </c>
      <c r="G527" s="19">
        <f t="shared" si="211"/>
        <v>0</v>
      </c>
    </row>
    <row r="528" spans="1:9" ht="47.25" outlineLevel="2" x14ac:dyDescent="0.25">
      <c r="A528" s="17" t="s">
        <v>94</v>
      </c>
      <c r="B528" s="18" t="s">
        <v>227</v>
      </c>
      <c r="C528" s="18" t="s">
        <v>604</v>
      </c>
      <c r="D528" s="18" t="s">
        <v>95</v>
      </c>
      <c r="E528" s="19">
        <f>62.9+985.7</f>
        <v>1048.6000000000001</v>
      </c>
      <c r="F528" s="19">
        <v>0</v>
      </c>
      <c r="G528" s="19">
        <v>0</v>
      </c>
    </row>
    <row r="529" spans="1:7" outlineLevel="2" x14ac:dyDescent="0.25">
      <c r="A529" s="20" t="s">
        <v>144</v>
      </c>
      <c r="B529" s="18" t="s">
        <v>227</v>
      </c>
      <c r="C529" s="18" t="s">
        <v>216</v>
      </c>
      <c r="D529" s="18"/>
      <c r="E529" s="19">
        <f>E530+E559</f>
        <v>2645548.8000000003</v>
      </c>
      <c r="F529" s="19">
        <f>F530+F559</f>
        <v>2621828.0999999996</v>
      </c>
      <c r="G529" s="19">
        <f>G530+G559</f>
        <v>2832832.5</v>
      </c>
    </row>
    <row r="530" spans="1:7" ht="63" outlineLevel="2" x14ac:dyDescent="0.25">
      <c r="A530" s="34" t="s">
        <v>496</v>
      </c>
      <c r="B530" s="18" t="s">
        <v>227</v>
      </c>
      <c r="C530" s="18" t="s">
        <v>217</v>
      </c>
      <c r="D530" s="9"/>
      <c r="E530" s="19">
        <f>E533+E535+E537+E539+E543+E547+E549+E551+E553+E531+E545+E555++E557+E541</f>
        <v>2638451.6</v>
      </c>
      <c r="F530" s="19">
        <f>F533+F535+F537+F539+F543+F547+F549+F551+F553+F531+F545+F555++F557</f>
        <v>2615014.9999999995</v>
      </c>
      <c r="G530" s="19">
        <f>G533+G535+G537+G539+G543+G547+G549+G551+G553+G531+G545+G555++G557</f>
        <v>2826019.4</v>
      </c>
    </row>
    <row r="531" spans="1:7" ht="63" outlineLevel="2" x14ac:dyDescent="0.25">
      <c r="A531" s="34" t="s">
        <v>234</v>
      </c>
      <c r="B531" s="18" t="s">
        <v>227</v>
      </c>
      <c r="C531" s="18" t="s">
        <v>624</v>
      </c>
      <c r="D531" s="18"/>
      <c r="E531" s="19">
        <f>E532</f>
        <v>186695.7</v>
      </c>
      <c r="F531" s="19">
        <f t="shared" ref="F531:G531" si="212">F532</f>
        <v>175684.4</v>
      </c>
      <c r="G531" s="19">
        <f t="shared" si="212"/>
        <v>171331.19999999998</v>
      </c>
    </row>
    <row r="532" spans="1:7" ht="47.25" outlineLevel="2" x14ac:dyDescent="0.25">
      <c r="A532" s="20" t="s">
        <v>94</v>
      </c>
      <c r="B532" s="18" t="s">
        <v>227</v>
      </c>
      <c r="C532" s="18" t="s">
        <v>624</v>
      </c>
      <c r="D532" s="18">
        <v>600</v>
      </c>
      <c r="E532" s="19">
        <f>186690.7+5</f>
        <v>186695.7</v>
      </c>
      <c r="F532" s="19">
        <v>175684.4</v>
      </c>
      <c r="G532" s="19">
        <v>171331.19999999998</v>
      </c>
    </row>
    <row r="533" spans="1:7" ht="63" outlineLevel="2" x14ac:dyDescent="0.25">
      <c r="A533" s="33" t="s">
        <v>235</v>
      </c>
      <c r="B533" s="18" t="s">
        <v>227</v>
      </c>
      <c r="C533" s="23" t="s">
        <v>236</v>
      </c>
      <c r="D533" s="57"/>
      <c r="E533" s="19">
        <f>E534</f>
        <v>39524.1</v>
      </c>
      <c r="F533" s="19">
        <f>F534</f>
        <v>35454.1</v>
      </c>
      <c r="G533" s="19">
        <f>G534</f>
        <v>35454.1</v>
      </c>
    </row>
    <row r="534" spans="1:7" ht="47.25" outlineLevel="2" x14ac:dyDescent="0.25">
      <c r="A534" s="20" t="s">
        <v>94</v>
      </c>
      <c r="B534" s="18" t="s">
        <v>227</v>
      </c>
      <c r="C534" s="23" t="s">
        <v>236</v>
      </c>
      <c r="D534" s="24">
        <v>600</v>
      </c>
      <c r="E534" s="19">
        <f>35454.1+4070</f>
        <v>39524.1</v>
      </c>
      <c r="F534" s="19">
        <v>35454.1</v>
      </c>
      <c r="G534" s="19">
        <v>35454.1</v>
      </c>
    </row>
    <row r="535" spans="1:7" ht="47.25" outlineLevel="2" x14ac:dyDescent="0.25">
      <c r="A535" s="8" t="s">
        <v>151</v>
      </c>
      <c r="B535" s="18" t="s">
        <v>227</v>
      </c>
      <c r="C535" s="18" t="s">
        <v>218</v>
      </c>
      <c r="D535" s="9"/>
      <c r="E535" s="19">
        <f>E536</f>
        <v>512372.39999999991</v>
      </c>
      <c r="F535" s="19">
        <f t="shared" ref="F535:G535" si="213">F536</f>
        <v>365666.60000000003</v>
      </c>
      <c r="G535" s="19">
        <f t="shared" si="213"/>
        <v>372138.2</v>
      </c>
    </row>
    <row r="536" spans="1:7" ht="47.25" outlineLevel="2" x14ac:dyDescent="0.25">
      <c r="A536" s="20" t="s">
        <v>94</v>
      </c>
      <c r="B536" s="18" t="s">
        <v>227</v>
      </c>
      <c r="C536" s="18" t="s">
        <v>218</v>
      </c>
      <c r="D536" s="9">
        <v>600</v>
      </c>
      <c r="E536" s="19">
        <f>360069.6+160+1421.6+1114+15641.4+342+772.8+493.5+958.1+1502+129897.4</f>
        <v>512372.39999999991</v>
      </c>
      <c r="F536" s="19">
        <v>365666.60000000003</v>
      </c>
      <c r="G536" s="19">
        <v>372138.2</v>
      </c>
    </row>
    <row r="537" spans="1:7" ht="47.25" outlineLevel="2" x14ac:dyDescent="0.25">
      <c r="A537" s="33" t="s">
        <v>237</v>
      </c>
      <c r="B537" s="18" t="s">
        <v>227</v>
      </c>
      <c r="C537" s="18" t="s">
        <v>238</v>
      </c>
      <c r="D537" s="9"/>
      <c r="E537" s="19">
        <f>E538</f>
        <v>73083.399999999994</v>
      </c>
      <c r="F537" s="19">
        <f t="shared" ref="F537:G537" si="214">F538</f>
        <v>73083.399999999994</v>
      </c>
      <c r="G537" s="19">
        <f t="shared" si="214"/>
        <v>73083.399999999994</v>
      </c>
    </row>
    <row r="538" spans="1:7" ht="47.25" outlineLevel="2" x14ac:dyDescent="0.25">
      <c r="A538" s="20" t="s">
        <v>94</v>
      </c>
      <c r="B538" s="18" t="s">
        <v>227</v>
      </c>
      <c r="C538" s="18" t="s">
        <v>238</v>
      </c>
      <c r="D538" s="9">
        <v>600</v>
      </c>
      <c r="E538" s="19">
        <v>73083.399999999994</v>
      </c>
      <c r="F538" s="19">
        <v>73083.399999999994</v>
      </c>
      <c r="G538" s="19">
        <v>73083.399999999994</v>
      </c>
    </row>
    <row r="539" spans="1:7" ht="63" outlineLevel="2" x14ac:dyDescent="0.25">
      <c r="A539" s="33" t="s">
        <v>239</v>
      </c>
      <c r="B539" s="18" t="s">
        <v>227</v>
      </c>
      <c r="C539" s="23" t="s">
        <v>240</v>
      </c>
      <c r="D539" s="57"/>
      <c r="E539" s="19">
        <f>E540</f>
        <v>798</v>
      </c>
      <c r="F539" s="19">
        <f t="shared" ref="F539:G539" si="215">F540</f>
        <v>1000</v>
      </c>
      <c r="G539" s="19">
        <f t="shared" si="215"/>
        <v>1000</v>
      </c>
    </row>
    <row r="540" spans="1:7" ht="47.25" outlineLevel="2" x14ac:dyDescent="0.25">
      <c r="A540" s="20" t="s">
        <v>94</v>
      </c>
      <c r="B540" s="18" t="s">
        <v>227</v>
      </c>
      <c r="C540" s="23" t="s">
        <v>240</v>
      </c>
      <c r="D540" s="24">
        <v>600</v>
      </c>
      <c r="E540" s="19">
        <f>1000-202</f>
        <v>798</v>
      </c>
      <c r="F540" s="19">
        <v>1000</v>
      </c>
      <c r="G540" s="19">
        <v>1000</v>
      </c>
    </row>
    <row r="541" spans="1:7" ht="110.25" outlineLevel="2" x14ac:dyDescent="0.25">
      <c r="A541" s="74" t="s">
        <v>742</v>
      </c>
      <c r="B541" s="76" t="s">
        <v>227</v>
      </c>
      <c r="C541" s="76" t="s">
        <v>743</v>
      </c>
      <c r="D541" s="76"/>
      <c r="E541" s="19">
        <f>E542</f>
        <v>100</v>
      </c>
      <c r="F541" s="19">
        <f t="shared" ref="F541:G541" si="216">F542</f>
        <v>0</v>
      </c>
      <c r="G541" s="19">
        <f t="shared" si="216"/>
        <v>0</v>
      </c>
    </row>
    <row r="542" spans="1:7" ht="47.25" outlineLevel="2" x14ac:dyDescent="0.25">
      <c r="A542" s="74" t="s">
        <v>94</v>
      </c>
      <c r="B542" s="76" t="s">
        <v>227</v>
      </c>
      <c r="C542" s="76" t="s">
        <v>743</v>
      </c>
      <c r="D542" s="76">
        <v>600</v>
      </c>
      <c r="E542" s="19">
        <v>100</v>
      </c>
      <c r="F542" s="19">
        <v>0</v>
      </c>
      <c r="G542" s="19">
        <v>0</v>
      </c>
    </row>
    <row r="543" spans="1:7" ht="78.75" outlineLevel="2" x14ac:dyDescent="0.25">
      <c r="A543" s="33" t="s">
        <v>241</v>
      </c>
      <c r="B543" s="18" t="s">
        <v>227</v>
      </c>
      <c r="C543" s="23" t="s">
        <v>242</v>
      </c>
      <c r="D543" s="24"/>
      <c r="E543" s="19">
        <f>E544</f>
        <v>7812.3000000000011</v>
      </c>
      <c r="F543" s="19">
        <f t="shared" ref="F543:G543" si="217">F544</f>
        <v>8382.2000000000007</v>
      </c>
      <c r="G543" s="19">
        <f t="shared" si="217"/>
        <v>8382.2000000000007</v>
      </c>
    </row>
    <row r="544" spans="1:7" ht="47.25" outlineLevel="2" x14ac:dyDescent="0.25">
      <c r="A544" s="20" t="s">
        <v>94</v>
      </c>
      <c r="B544" s="18" t="s">
        <v>227</v>
      </c>
      <c r="C544" s="23" t="s">
        <v>242</v>
      </c>
      <c r="D544" s="24">
        <v>600</v>
      </c>
      <c r="E544" s="19">
        <f>415.6+6510.9+0.1+53.1+832.6</f>
        <v>7812.3000000000011</v>
      </c>
      <c r="F544" s="19">
        <v>8382.2000000000007</v>
      </c>
      <c r="G544" s="19">
        <v>8382.2000000000007</v>
      </c>
    </row>
    <row r="545" spans="1:7" ht="141.75" outlineLevel="2" x14ac:dyDescent="0.25">
      <c r="A545" s="33" t="s">
        <v>625</v>
      </c>
      <c r="B545" s="18" t="s">
        <v>227</v>
      </c>
      <c r="C545" s="18" t="s">
        <v>626</v>
      </c>
      <c r="D545" s="18"/>
      <c r="E545" s="19">
        <f>E546</f>
        <v>190.3</v>
      </c>
      <c r="F545" s="19">
        <f t="shared" ref="F545:G545" si="218">F546</f>
        <v>190.3</v>
      </c>
      <c r="G545" s="19">
        <f t="shared" si="218"/>
        <v>190.3</v>
      </c>
    </row>
    <row r="546" spans="1:7" ht="47.25" outlineLevel="2" x14ac:dyDescent="0.25">
      <c r="A546" s="20" t="s">
        <v>94</v>
      </c>
      <c r="B546" s="18" t="s">
        <v>227</v>
      </c>
      <c r="C546" s="18" t="s">
        <v>626</v>
      </c>
      <c r="D546" s="18" t="s">
        <v>95</v>
      </c>
      <c r="E546" s="19">
        <v>190.3</v>
      </c>
      <c r="F546" s="19">
        <v>190.3</v>
      </c>
      <c r="G546" s="19">
        <v>190.3</v>
      </c>
    </row>
    <row r="547" spans="1:7" ht="157.5" outlineLevel="2" x14ac:dyDescent="0.25">
      <c r="A547" s="33" t="s">
        <v>244</v>
      </c>
      <c r="B547" s="18" t="s">
        <v>227</v>
      </c>
      <c r="C547" s="30" t="s">
        <v>245</v>
      </c>
      <c r="D547" s="3"/>
      <c r="E547" s="19">
        <f>E548</f>
        <v>8432</v>
      </c>
      <c r="F547" s="19">
        <f t="shared" ref="F547:G547" si="219">F548</f>
        <v>8630.1999999999989</v>
      </c>
      <c r="G547" s="19">
        <f t="shared" si="219"/>
        <v>8630.2000000000007</v>
      </c>
    </row>
    <row r="548" spans="1:7" ht="47.25" outlineLevel="2" x14ac:dyDescent="0.25">
      <c r="A548" s="20" t="s">
        <v>94</v>
      </c>
      <c r="B548" s="18" t="s">
        <v>227</v>
      </c>
      <c r="C548" s="30" t="s">
        <v>245</v>
      </c>
      <c r="D548" s="3">
        <v>600</v>
      </c>
      <c r="E548" s="19">
        <f>8315.2+116.8</f>
        <v>8432</v>
      </c>
      <c r="F548" s="19">
        <v>8630.1999999999989</v>
      </c>
      <c r="G548" s="19">
        <v>8630.2000000000007</v>
      </c>
    </row>
    <row r="549" spans="1:7" ht="94.5" outlineLevel="2" x14ac:dyDescent="0.25">
      <c r="A549" s="33" t="s">
        <v>246</v>
      </c>
      <c r="B549" s="18" t="s">
        <v>227</v>
      </c>
      <c r="C549" s="18" t="s">
        <v>247</v>
      </c>
      <c r="D549" s="9"/>
      <c r="E549" s="19">
        <f>E550</f>
        <v>198</v>
      </c>
      <c r="F549" s="19">
        <f t="shared" ref="F549:G549" si="220">F550</f>
        <v>198</v>
      </c>
      <c r="G549" s="19">
        <f t="shared" si="220"/>
        <v>198</v>
      </c>
    </row>
    <row r="550" spans="1:7" ht="47.25" outlineLevel="2" x14ac:dyDescent="0.25">
      <c r="A550" s="17" t="s">
        <v>94</v>
      </c>
      <c r="B550" s="18" t="s">
        <v>227</v>
      </c>
      <c r="C550" s="18" t="s">
        <v>247</v>
      </c>
      <c r="D550" s="9">
        <v>600</v>
      </c>
      <c r="E550" s="19">
        <f>183.8+14.2</f>
        <v>198</v>
      </c>
      <c r="F550" s="19">
        <v>198</v>
      </c>
      <c r="G550" s="19">
        <v>198</v>
      </c>
    </row>
    <row r="551" spans="1:7" ht="204.75" outlineLevel="2" x14ac:dyDescent="0.25">
      <c r="A551" s="33" t="s">
        <v>221</v>
      </c>
      <c r="B551" s="18" t="s">
        <v>227</v>
      </c>
      <c r="C551" s="18" t="s">
        <v>222</v>
      </c>
      <c r="D551" s="18"/>
      <c r="E551" s="19">
        <f>E552</f>
        <v>1778140.5</v>
      </c>
      <c r="F551" s="19">
        <f t="shared" ref="F551:G551" si="221">F552</f>
        <v>1919825.4</v>
      </c>
      <c r="G551" s="19">
        <f t="shared" si="221"/>
        <v>2128754.9</v>
      </c>
    </row>
    <row r="552" spans="1:7" ht="47.25" outlineLevel="2" x14ac:dyDescent="0.25">
      <c r="A552" s="20" t="s">
        <v>94</v>
      </c>
      <c r="B552" s="18" t="s">
        <v>227</v>
      </c>
      <c r="C552" s="18" t="s">
        <v>222</v>
      </c>
      <c r="D552" s="18" t="s">
        <v>95</v>
      </c>
      <c r="E552" s="19">
        <f>1557554.9+220585.6</f>
        <v>1778140.5</v>
      </c>
      <c r="F552" s="19">
        <v>1919825.4</v>
      </c>
      <c r="G552" s="19">
        <v>2128754.9</v>
      </c>
    </row>
    <row r="553" spans="1:7" ht="189" outlineLevel="2" x14ac:dyDescent="0.25">
      <c r="A553" s="33" t="s">
        <v>248</v>
      </c>
      <c r="B553" s="18" t="s">
        <v>227</v>
      </c>
      <c r="C553" s="18" t="s">
        <v>249</v>
      </c>
      <c r="D553" s="18"/>
      <c r="E553" s="19">
        <f>E554</f>
        <v>24899.9</v>
      </c>
      <c r="F553" s="19">
        <f t="shared" ref="F553:G553" si="222">F554</f>
        <v>24894.600000000002</v>
      </c>
      <c r="G553" s="19">
        <f t="shared" si="222"/>
        <v>24894.600000000002</v>
      </c>
    </row>
    <row r="554" spans="1:7" ht="47.25" outlineLevel="2" x14ac:dyDescent="0.25">
      <c r="A554" s="20" t="s">
        <v>94</v>
      </c>
      <c r="B554" s="18" t="s">
        <v>227</v>
      </c>
      <c r="C554" s="18" t="s">
        <v>249</v>
      </c>
      <c r="D554" s="18" t="s">
        <v>95</v>
      </c>
      <c r="E554" s="19">
        <f>18932.9+5961.7+5.3</f>
        <v>24899.9</v>
      </c>
      <c r="F554" s="19">
        <v>24894.600000000002</v>
      </c>
      <c r="G554" s="19">
        <v>24894.600000000002</v>
      </c>
    </row>
    <row r="555" spans="1:7" ht="126" outlineLevel="2" x14ac:dyDescent="0.25">
      <c r="A555" s="20" t="s">
        <v>267</v>
      </c>
      <c r="B555" s="18" t="s">
        <v>227</v>
      </c>
      <c r="C555" s="18" t="s">
        <v>268</v>
      </c>
      <c r="D555" s="18"/>
      <c r="E555" s="19">
        <f>E556</f>
        <v>2156.5</v>
      </c>
      <c r="F555" s="19">
        <f t="shared" ref="F555:G555" si="223">F556</f>
        <v>2005.8</v>
      </c>
      <c r="G555" s="19">
        <f t="shared" si="223"/>
        <v>1962.3</v>
      </c>
    </row>
    <row r="556" spans="1:7" ht="47.25" outlineLevel="2" x14ac:dyDescent="0.25">
      <c r="A556" s="20" t="s">
        <v>94</v>
      </c>
      <c r="B556" s="18" t="s">
        <v>227</v>
      </c>
      <c r="C556" s="18" t="s">
        <v>268</v>
      </c>
      <c r="D556" s="18" t="s">
        <v>95</v>
      </c>
      <c r="E556" s="19">
        <f>2156.3+0.2</f>
        <v>2156.5</v>
      </c>
      <c r="F556" s="19">
        <v>2005.8</v>
      </c>
      <c r="G556" s="19">
        <v>1962.3</v>
      </c>
    </row>
    <row r="557" spans="1:7" ht="189" outlineLevel="2" x14ac:dyDescent="0.25">
      <c r="A557" s="20" t="s">
        <v>627</v>
      </c>
      <c r="B557" s="18" t="s">
        <v>227</v>
      </c>
      <c r="C557" s="18" t="s">
        <v>628</v>
      </c>
      <c r="D557" s="18"/>
      <c r="E557" s="19">
        <f>E558</f>
        <v>4048.5</v>
      </c>
      <c r="F557" s="19">
        <f t="shared" ref="F557:G557" si="224">F558</f>
        <v>0</v>
      </c>
      <c r="G557" s="19">
        <f t="shared" si="224"/>
        <v>0</v>
      </c>
    </row>
    <row r="558" spans="1:7" ht="47.25" outlineLevel="2" x14ac:dyDescent="0.25">
      <c r="A558" s="20" t="s">
        <v>94</v>
      </c>
      <c r="B558" s="18" t="s">
        <v>227</v>
      </c>
      <c r="C558" s="18" t="s">
        <v>628</v>
      </c>
      <c r="D558" s="18" t="s">
        <v>95</v>
      </c>
      <c r="E558" s="19">
        <f>4042.3+6.2</f>
        <v>4048.5</v>
      </c>
      <c r="F558" s="19">
        <v>0</v>
      </c>
      <c r="G558" s="19">
        <v>0</v>
      </c>
    </row>
    <row r="559" spans="1:7" ht="63" outlineLevel="2" x14ac:dyDescent="0.25">
      <c r="A559" s="33" t="s">
        <v>490</v>
      </c>
      <c r="B559" s="18" t="s">
        <v>227</v>
      </c>
      <c r="C559" s="18" t="s">
        <v>223</v>
      </c>
      <c r="D559" s="9"/>
      <c r="E559" s="19">
        <f>E560+E564+E566+E568+E562</f>
        <v>7097.2</v>
      </c>
      <c r="F559" s="19">
        <f t="shared" ref="F559:G559" si="225">F560+F564+F566+F568</f>
        <v>6813.1</v>
      </c>
      <c r="G559" s="19">
        <f t="shared" si="225"/>
        <v>6813.1</v>
      </c>
    </row>
    <row r="560" spans="1:7" ht="31.5" outlineLevel="2" x14ac:dyDescent="0.25">
      <c r="A560" s="48" t="s">
        <v>250</v>
      </c>
      <c r="B560" s="23" t="s">
        <v>227</v>
      </c>
      <c r="C560" s="23" t="s">
        <v>251</v>
      </c>
      <c r="D560" s="24"/>
      <c r="E560" s="19">
        <f>E561</f>
        <v>1432.2</v>
      </c>
      <c r="F560" s="19">
        <f t="shared" ref="F560:G560" si="226">F561</f>
        <v>813.7</v>
      </c>
      <c r="G560" s="19">
        <f t="shared" si="226"/>
        <v>813.7</v>
      </c>
    </row>
    <row r="561" spans="1:7" ht="47.25" outlineLevel="2" x14ac:dyDescent="0.25">
      <c r="A561" s="20" t="s">
        <v>94</v>
      </c>
      <c r="B561" s="23" t="s">
        <v>227</v>
      </c>
      <c r="C561" s="23" t="s">
        <v>251</v>
      </c>
      <c r="D561" s="24">
        <v>600</v>
      </c>
      <c r="E561" s="19">
        <f>813.7+455.7+162.8</f>
        <v>1432.2</v>
      </c>
      <c r="F561" s="19">
        <v>813.7</v>
      </c>
      <c r="G561" s="19">
        <v>813.7</v>
      </c>
    </row>
    <row r="562" spans="1:7" ht="31.5" outlineLevel="2" x14ac:dyDescent="0.25">
      <c r="A562" s="34" t="s">
        <v>280</v>
      </c>
      <c r="B562" s="18" t="s">
        <v>227</v>
      </c>
      <c r="C562" s="18" t="s">
        <v>281</v>
      </c>
      <c r="D562" s="18"/>
      <c r="E562" s="19">
        <f>E563</f>
        <v>5.7</v>
      </c>
      <c r="F562" s="19">
        <f t="shared" ref="F562:G562" si="227">F563</f>
        <v>0</v>
      </c>
      <c r="G562" s="19">
        <f t="shared" si="227"/>
        <v>0</v>
      </c>
    </row>
    <row r="563" spans="1:7" ht="47.25" outlineLevel="2" x14ac:dyDescent="0.25">
      <c r="A563" s="20" t="s">
        <v>94</v>
      </c>
      <c r="B563" s="18" t="s">
        <v>227</v>
      </c>
      <c r="C563" s="18" t="s">
        <v>281</v>
      </c>
      <c r="D563" s="18">
        <v>600</v>
      </c>
      <c r="E563" s="19">
        <v>5.7</v>
      </c>
      <c r="F563" s="19">
        <v>0</v>
      </c>
      <c r="G563" s="19">
        <v>0</v>
      </c>
    </row>
    <row r="564" spans="1:7" ht="47.25" outlineLevel="2" x14ac:dyDescent="0.25">
      <c r="A564" s="29" t="s">
        <v>252</v>
      </c>
      <c r="B564" s="18" t="s">
        <v>227</v>
      </c>
      <c r="C564" s="23" t="s">
        <v>253</v>
      </c>
      <c r="D564" s="57"/>
      <c r="E564" s="19">
        <f>E565</f>
        <v>1010</v>
      </c>
      <c r="F564" s="19">
        <f t="shared" ref="F564:G564" si="228">F565</f>
        <v>660</v>
      </c>
      <c r="G564" s="19">
        <f t="shared" si="228"/>
        <v>660</v>
      </c>
    </row>
    <row r="565" spans="1:7" ht="47.25" outlineLevel="2" x14ac:dyDescent="0.25">
      <c r="A565" s="20" t="s">
        <v>94</v>
      </c>
      <c r="B565" s="18" t="s">
        <v>227</v>
      </c>
      <c r="C565" s="23" t="s">
        <v>253</v>
      </c>
      <c r="D565" s="24">
        <v>600</v>
      </c>
      <c r="E565" s="19">
        <f>624+36+350</f>
        <v>1010</v>
      </c>
      <c r="F565" s="19">
        <v>660</v>
      </c>
      <c r="G565" s="19">
        <v>660</v>
      </c>
    </row>
    <row r="566" spans="1:7" ht="47.25" outlineLevel="2" x14ac:dyDescent="0.25">
      <c r="A566" s="29" t="s">
        <v>254</v>
      </c>
      <c r="B566" s="23" t="s">
        <v>227</v>
      </c>
      <c r="C566" s="23" t="s">
        <v>225</v>
      </c>
      <c r="D566" s="24"/>
      <c r="E566" s="19">
        <f>E567</f>
        <v>2539.4</v>
      </c>
      <c r="F566" s="19">
        <f t="shared" ref="F566:G566" si="229">F567</f>
        <v>2539.4</v>
      </c>
      <c r="G566" s="19">
        <f t="shared" si="229"/>
        <v>2539.4</v>
      </c>
    </row>
    <row r="567" spans="1:7" ht="47.25" outlineLevel="2" x14ac:dyDescent="0.25">
      <c r="A567" s="20" t="s">
        <v>94</v>
      </c>
      <c r="B567" s="23" t="s">
        <v>227</v>
      </c>
      <c r="C567" s="23" t="s">
        <v>225</v>
      </c>
      <c r="D567" s="24">
        <v>600</v>
      </c>
      <c r="E567" s="19">
        <v>2539.4</v>
      </c>
      <c r="F567" s="19">
        <v>2539.4</v>
      </c>
      <c r="G567" s="19">
        <v>2539.4</v>
      </c>
    </row>
    <row r="568" spans="1:7" ht="126" outlineLevel="2" x14ac:dyDescent="0.25">
      <c r="A568" s="33" t="s">
        <v>255</v>
      </c>
      <c r="B568" s="23" t="s">
        <v>227</v>
      </c>
      <c r="C568" s="23" t="s">
        <v>256</v>
      </c>
      <c r="D568" s="24"/>
      <c r="E568" s="19">
        <f>E569</f>
        <v>2109.9</v>
      </c>
      <c r="F568" s="19">
        <f t="shared" ref="F568:G568" si="230">F569</f>
        <v>2800</v>
      </c>
      <c r="G568" s="19">
        <f t="shared" si="230"/>
        <v>2800</v>
      </c>
    </row>
    <row r="569" spans="1:7" ht="31.5" outlineLevel="2" x14ac:dyDescent="0.25">
      <c r="A569" s="20" t="s">
        <v>20</v>
      </c>
      <c r="B569" s="23" t="s">
        <v>227</v>
      </c>
      <c r="C569" s="23" t="s">
        <v>256</v>
      </c>
      <c r="D569" s="24">
        <v>300</v>
      </c>
      <c r="E569" s="19">
        <f>2800-690.1</f>
        <v>2109.9</v>
      </c>
      <c r="F569" s="19">
        <v>2800</v>
      </c>
      <c r="G569" s="19">
        <v>2800</v>
      </c>
    </row>
    <row r="570" spans="1:7" outlineLevel="1" x14ac:dyDescent="0.25">
      <c r="A570" s="20" t="s">
        <v>257</v>
      </c>
      <c r="B570" s="23" t="s">
        <v>258</v>
      </c>
      <c r="C570" s="23"/>
      <c r="D570" s="24"/>
      <c r="E570" s="19">
        <f>E571+E584</f>
        <v>493929.49999999994</v>
      </c>
      <c r="F570" s="19">
        <f t="shared" ref="F570:G570" si="231">F571+F584</f>
        <v>491860.8</v>
      </c>
      <c r="G570" s="19">
        <f t="shared" si="231"/>
        <v>509749.5</v>
      </c>
    </row>
    <row r="571" spans="1:7" ht="31.5" outlineLevel="2" x14ac:dyDescent="0.25">
      <c r="A571" s="20" t="s">
        <v>209</v>
      </c>
      <c r="B571" s="18" t="s">
        <v>258</v>
      </c>
      <c r="C571" s="18" t="s">
        <v>210</v>
      </c>
      <c r="D571" s="58"/>
      <c r="E571" s="19">
        <f>E572</f>
        <v>296620.69999999995</v>
      </c>
      <c r="F571" s="19">
        <f t="shared" ref="F571:G571" si="232">F572</f>
        <v>293286.5</v>
      </c>
      <c r="G571" s="19">
        <f t="shared" si="232"/>
        <v>301110.3</v>
      </c>
    </row>
    <row r="572" spans="1:7" outlineLevel="2" x14ac:dyDescent="0.25">
      <c r="A572" s="20" t="s">
        <v>144</v>
      </c>
      <c r="B572" s="18" t="s">
        <v>258</v>
      </c>
      <c r="C572" s="18" t="s">
        <v>216</v>
      </c>
      <c r="D572" s="58"/>
      <c r="E572" s="19">
        <f>E573+E581</f>
        <v>296620.69999999995</v>
      </c>
      <c r="F572" s="19">
        <f t="shared" ref="F572:G572" si="233">F573+F581</f>
        <v>293286.5</v>
      </c>
      <c r="G572" s="19">
        <f t="shared" si="233"/>
        <v>301110.3</v>
      </c>
    </row>
    <row r="573" spans="1:7" ht="63" outlineLevel="2" x14ac:dyDescent="0.25">
      <c r="A573" s="34" t="s">
        <v>496</v>
      </c>
      <c r="B573" s="18" t="s">
        <v>258</v>
      </c>
      <c r="C573" s="18" t="s">
        <v>217</v>
      </c>
      <c r="D573" s="58"/>
      <c r="E573" s="19">
        <f>E574+E576+E579</f>
        <v>296555.59999999998</v>
      </c>
      <c r="F573" s="19">
        <f t="shared" ref="F573:G573" si="234">F574+F576+F579</f>
        <v>293286.5</v>
      </c>
      <c r="G573" s="19">
        <f t="shared" si="234"/>
        <v>301110.3</v>
      </c>
    </row>
    <row r="574" spans="1:7" ht="47.25" outlineLevel="2" x14ac:dyDescent="0.25">
      <c r="A574" s="8" t="s">
        <v>151</v>
      </c>
      <c r="B574" s="18" t="s">
        <v>258</v>
      </c>
      <c r="C574" s="18" t="s">
        <v>218</v>
      </c>
      <c r="D574" s="9"/>
      <c r="E574" s="19">
        <f>E575</f>
        <v>187752.5</v>
      </c>
      <c r="F574" s="19">
        <f t="shared" ref="F574:G574" si="235">F575</f>
        <v>179767.8</v>
      </c>
      <c r="G574" s="19">
        <f t="shared" si="235"/>
        <v>187417.2</v>
      </c>
    </row>
    <row r="575" spans="1:7" ht="47.25" outlineLevel="2" x14ac:dyDescent="0.25">
      <c r="A575" s="20" t="s">
        <v>94</v>
      </c>
      <c r="B575" s="18" t="s">
        <v>258</v>
      </c>
      <c r="C575" s="18" t="s">
        <v>218</v>
      </c>
      <c r="D575" s="9">
        <v>600</v>
      </c>
      <c r="E575" s="19">
        <f>177633.2-81.2-3852.7+7292.4+1360+881.7-166+4685.1</f>
        <v>187752.5</v>
      </c>
      <c r="F575" s="19">
        <f>184818-5050.2</f>
        <v>179767.8</v>
      </c>
      <c r="G575" s="19">
        <f>192586-62-5106.8</f>
        <v>187417.2</v>
      </c>
    </row>
    <row r="576" spans="1:7" ht="47.25" outlineLevel="2" x14ac:dyDescent="0.25">
      <c r="A576" s="33" t="s">
        <v>259</v>
      </c>
      <c r="B576" s="18" t="s">
        <v>258</v>
      </c>
      <c r="C576" s="18" t="s">
        <v>260</v>
      </c>
      <c r="D576" s="9"/>
      <c r="E576" s="19">
        <f>E577+E578</f>
        <v>108483</v>
      </c>
      <c r="F576" s="19">
        <f t="shared" ref="F576:G576" si="236">F577+F578</f>
        <v>113198.6</v>
      </c>
      <c r="G576" s="19">
        <f t="shared" si="236"/>
        <v>113373</v>
      </c>
    </row>
    <row r="577" spans="1:7" ht="47.25" outlineLevel="2" x14ac:dyDescent="0.25">
      <c r="A577" s="20" t="s">
        <v>94</v>
      </c>
      <c r="B577" s="18" t="s">
        <v>258</v>
      </c>
      <c r="C577" s="18" t="s">
        <v>260</v>
      </c>
      <c r="D577" s="9">
        <v>600</v>
      </c>
      <c r="E577" s="19">
        <f>108401.8-5800+81.2+2000+160</f>
        <v>104843</v>
      </c>
      <c r="F577" s="19">
        <f>113198.6-6110</f>
        <v>107088.6</v>
      </c>
      <c r="G577" s="19">
        <f>113373-6110</f>
        <v>107263</v>
      </c>
    </row>
    <row r="578" spans="1:7" outlineLevel="2" x14ac:dyDescent="0.25">
      <c r="A578" s="17" t="s">
        <v>33</v>
      </c>
      <c r="B578" s="18" t="s">
        <v>258</v>
      </c>
      <c r="C578" s="18" t="s">
        <v>260</v>
      </c>
      <c r="D578" s="9">
        <v>800</v>
      </c>
      <c r="E578" s="19">
        <f>5800-2000-160</f>
        <v>3640</v>
      </c>
      <c r="F578" s="19">
        <v>6110</v>
      </c>
      <c r="G578" s="19">
        <v>6110</v>
      </c>
    </row>
    <row r="579" spans="1:7" ht="110.25" outlineLevel="2" x14ac:dyDescent="0.25">
      <c r="A579" s="33" t="s">
        <v>261</v>
      </c>
      <c r="B579" s="18" t="s">
        <v>258</v>
      </c>
      <c r="C579" s="18" t="s">
        <v>262</v>
      </c>
      <c r="D579" s="9"/>
      <c r="E579" s="19">
        <f>E580</f>
        <v>320.10000000000002</v>
      </c>
      <c r="F579" s="19">
        <f t="shared" ref="F579:G579" si="237">F580</f>
        <v>320.10000000000002</v>
      </c>
      <c r="G579" s="19">
        <f t="shared" si="237"/>
        <v>320.10000000000002</v>
      </c>
    </row>
    <row r="580" spans="1:7" ht="47.25" outlineLevel="2" x14ac:dyDescent="0.25">
      <c r="A580" s="20" t="s">
        <v>94</v>
      </c>
      <c r="B580" s="18" t="s">
        <v>258</v>
      </c>
      <c r="C580" s="18" t="s">
        <v>262</v>
      </c>
      <c r="D580" s="9">
        <v>600</v>
      </c>
      <c r="E580" s="19">
        <v>320.10000000000002</v>
      </c>
      <c r="F580" s="19">
        <v>320.10000000000002</v>
      </c>
      <c r="G580" s="19">
        <v>320.10000000000002</v>
      </c>
    </row>
    <row r="581" spans="1:7" ht="63" outlineLevel="2" x14ac:dyDescent="0.25">
      <c r="A581" s="77" t="s">
        <v>490</v>
      </c>
      <c r="B581" s="76" t="s">
        <v>258</v>
      </c>
      <c r="C581" s="76" t="s">
        <v>223</v>
      </c>
      <c r="D581" s="76"/>
      <c r="E581" s="19">
        <f>E582</f>
        <v>65.099999999999994</v>
      </c>
      <c r="F581" s="19">
        <f t="shared" ref="F581:G582" si="238">F582</f>
        <v>0</v>
      </c>
      <c r="G581" s="19">
        <f t="shared" si="238"/>
        <v>0</v>
      </c>
    </row>
    <row r="582" spans="1:7" ht="31.5" outlineLevel="2" x14ac:dyDescent="0.25">
      <c r="A582" s="78" t="s">
        <v>250</v>
      </c>
      <c r="B582" s="76" t="s">
        <v>258</v>
      </c>
      <c r="C582" s="76" t="s">
        <v>251</v>
      </c>
      <c r="D582" s="76"/>
      <c r="E582" s="19">
        <f>E583</f>
        <v>65.099999999999994</v>
      </c>
      <c r="F582" s="19">
        <f t="shared" si="238"/>
        <v>0</v>
      </c>
      <c r="G582" s="19">
        <f t="shared" si="238"/>
        <v>0</v>
      </c>
    </row>
    <row r="583" spans="1:7" ht="47.25" outlineLevel="2" x14ac:dyDescent="0.25">
      <c r="A583" s="74" t="s">
        <v>94</v>
      </c>
      <c r="B583" s="76" t="s">
        <v>258</v>
      </c>
      <c r="C583" s="76" t="s">
        <v>251</v>
      </c>
      <c r="D583" s="76">
        <v>600</v>
      </c>
      <c r="E583" s="19">
        <v>65.099999999999994</v>
      </c>
      <c r="F583" s="19">
        <v>0</v>
      </c>
      <c r="G583" s="19">
        <v>0</v>
      </c>
    </row>
    <row r="584" spans="1:7" ht="31.5" outlineLevel="2" x14ac:dyDescent="0.25">
      <c r="A584" s="35" t="s">
        <v>153</v>
      </c>
      <c r="B584" s="30" t="s">
        <v>258</v>
      </c>
      <c r="C584" s="30" t="s">
        <v>96</v>
      </c>
      <c r="D584" s="3"/>
      <c r="E584" s="19">
        <f t="shared" ref="E584:G587" si="239">E585</f>
        <v>197308.79999999999</v>
      </c>
      <c r="F584" s="19">
        <f t="shared" si="239"/>
        <v>198574.3</v>
      </c>
      <c r="G584" s="19">
        <f t="shared" si="239"/>
        <v>208639.2</v>
      </c>
    </row>
    <row r="585" spans="1:7" outlineLevel="2" x14ac:dyDescent="0.25">
      <c r="A585" s="35" t="s">
        <v>144</v>
      </c>
      <c r="B585" s="30" t="s">
        <v>258</v>
      </c>
      <c r="C585" s="30" t="s">
        <v>107</v>
      </c>
      <c r="D585" s="3"/>
      <c r="E585" s="19">
        <f t="shared" si="239"/>
        <v>197308.79999999999</v>
      </c>
      <c r="F585" s="19">
        <f t="shared" si="239"/>
        <v>198574.3</v>
      </c>
      <c r="G585" s="19">
        <f t="shared" si="239"/>
        <v>208639.2</v>
      </c>
    </row>
    <row r="586" spans="1:7" ht="78.75" outlineLevel="2" x14ac:dyDescent="0.25">
      <c r="A586" s="35" t="s">
        <v>154</v>
      </c>
      <c r="B586" s="30" t="s">
        <v>258</v>
      </c>
      <c r="C586" s="30" t="s">
        <v>108</v>
      </c>
      <c r="D586" s="30"/>
      <c r="E586" s="19">
        <f t="shared" si="239"/>
        <v>197308.79999999999</v>
      </c>
      <c r="F586" s="19">
        <f t="shared" si="239"/>
        <v>198574.3</v>
      </c>
      <c r="G586" s="19">
        <f t="shared" si="239"/>
        <v>208639.2</v>
      </c>
    </row>
    <row r="587" spans="1:7" ht="47.25" outlineLevel="2" x14ac:dyDescent="0.25">
      <c r="A587" s="35" t="s">
        <v>151</v>
      </c>
      <c r="B587" s="30" t="s">
        <v>258</v>
      </c>
      <c r="C587" s="30" t="s">
        <v>109</v>
      </c>
      <c r="D587" s="30"/>
      <c r="E587" s="19">
        <f t="shared" si="239"/>
        <v>197308.79999999999</v>
      </c>
      <c r="F587" s="19">
        <f t="shared" si="239"/>
        <v>198574.3</v>
      </c>
      <c r="G587" s="19">
        <f t="shared" si="239"/>
        <v>208639.2</v>
      </c>
    </row>
    <row r="588" spans="1:7" ht="47.25" outlineLevel="2" x14ac:dyDescent="0.25">
      <c r="A588" s="35" t="s">
        <v>94</v>
      </c>
      <c r="B588" s="30" t="s">
        <v>258</v>
      </c>
      <c r="C588" s="30" t="s">
        <v>109</v>
      </c>
      <c r="D588" s="30" t="s">
        <v>95</v>
      </c>
      <c r="E588" s="19">
        <f>193853.6+400+2005.9+1049.3</f>
        <v>197308.79999999999</v>
      </c>
      <c r="F588" s="19">
        <v>198574.3</v>
      </c>
      <c r="G588" s="19">
        <v>208639.2</v>
      </c>
    </row>
    <row r="589" spans="1:7" outlineLevel="1" x14ac:dyDescent="0.25">
      <c r="A589" s="17" t="s">
        <v>99</v>
      </c>
      <c r="B589" s="18" t="s">
        <v>100</v>
      </c>
      <c r="C589" s="18"/>
      <c r="D589" s="18"/>
      <c r="E589" s="19">
        <f>E590</f>
        <v>186611.5</v>
      </c>
      <c r="F589" s="19">
        <f t="shared" ref="F589:G589" si="240">F590</f>
        <v>47622.600000000006</v>
      </c>
      <c r="G589" s="19">
        <f t="shared" si="240"/>
        <v>48948.6</v>
      </c>
    </row>
    <row r="590" spans="1:7" ht="31.5" outlineLevel="2" x14ac:dyDescent="0.25">
      <c r="A590" s="17" t="s">
        <v>101</v>
      </c>
      <c r="B590" s="18" t="s">
        <v>100</v>
      </c>
      <c r="C590" s="18" t="s">
        <v>102</v>
      </c>
      <c r="D590" s="18"/>
      <c r="E590" s="19">
        <f>E595+E599+E591</f>
        <v>186611.5</v>
      </c>
      <c r="F590" s="19">
        <f t="shared" ref="F590:G590" si="241">F595+F599+F591</f>
        <v>47622.600000000006</v>
      </c>
      <c r="G590" s="19">
        <f t="shared" si="241"/>
        <v>48948.6</v>
      </c>
    </row>
    <row r="591" spans="1:7" outlineLevel="2" x14ac:dyDescent="0.25">
      <c r="A591" s="60" t="s">
        <v>228</v>
      </c>
      <c r="B591" s="18" t="s">
        <v>100</v>
      </c>
      <c r="C591" s="18" t="s">
        <v>554</v>
      </c>
      <c r="D591" s="18"/>
      <c r="E591" s="19">
        <f>E592</f>
        <v>127580.8</v>
      </c>
      <c r="F591" s="19">
        <f t="shared" ref="F591:G593" si="242">F592</f>
        <v>0</v>
      </c>
      <c r="G591" s="19">
        <f t="shared" si="242"/>
        <v>0</v>
      </c>
    </row>
    <row r="592" spans="1:7" ht="31.5" outlineLevel="2" x14ac:dyDescent="0.25">
      <c r="A592" s="60" t="s">
        <v>552</v>
      </c>
      <c r="B592" s="18" t="s">
        <v>100</v>
      </c>
      <c r="C592" s="18" t="s">
        <v>555</v>
      </c>
      <c r="D592" s="18"/>
      <c r="E592" s="19">
        <f t="shared" ref="E592:E593" si="243">E593</f>
        <v>127580.8</v>
      </c>
      <c r="F592" s="19">
        <f t="shared" si="242"/>
        <v>0</v>
      </c>
      <c r="G592" s="19">
        <f t="shared" si="242"/>
        <v>0</v>
      </c>
    </row>
    <row r="593" spans="1:7" ht="47.25" outlineLevel="2" x14ac:dyDescent="0.25">
      <c r="A593" s="60" t="s">
        <v>553</v>
      </c>
      <c r="B593" s="18" t="s">
        <v>100</v>
      </c>
      <c r="C593" s="18" t="s">
        <v>556</v>
      </c>
      <c r="D593" s="18"/>
      <c r="E593" s="19">
        <f t="shared" si="243"/>
        <v>127580.8</v>
      </c>
      <c r="F593" s="19">
        <f t="shared" si="242"/>
        <v>0</v>
      </c>
      <c r="G593" s="19">
        <f t="shared" si="242"/>
        <v>0</v>
      </c>
    </row>
    <row r="594" spans="1:7" ht="47.25" outlineLevel="2" x14ac:dyDescent="0.25">
      <c r="A594" s="17" t="s">
        <v>94</v>
      </c>
      <c r="B594" s="18" t="s">
        <v>100</v>
      </c>
      <c r="C594" s="18" t="s">
        <v>556</v>
      </c>
      <c r="D594" s="18" t="s">
        <v>95</v>
      </c>
      <c r="E594" s="19">
        <f>9297.6+118283.2</f>
        <v>127580.8</v>
      </c>
      <c r="F594" s="19">
        <v>0</v>
      </c>
      <c r="G594" s="19">
        <v>0</v>
      </c>
    </row>
    <row r="595" spans="1:7" ht="31.5" outlineLevel="2" x14ac:dyDescent="0.25">
      <c r="A595" s="17" t="s">
        <v>155</v>
      </c>
      <c r="B595" s="18" t="s">
        <v>100</v>
      </c>
      <c r="C595" s="18" t="s">
        <v>172</v>
      </c>
      <c r="D595" s="9"/>
      <c r="E595" s="19">
        <f>E596</f>
        <v>499.2</v>
      </c>
      <c r="F595" s="19">
        <f t="shared" ref="F595:G597" si="244">F596</f>
        <v>294.39999999999998</v>
      </c>
      <c r="G595" s="19">
        <f t="shared" si="244"/>
        <v>294.39999999999998</v>
      </c>
    </row>
    <row r="596" spans="1:7" ht="31.5" outlineLevel="2" x14ac:dyDescent="0.25">
      <c r="A596" s="17" t="s">
        <v>173</v>
      </c>
      <c r="B596" s="18" t="s">
        <v>100</v>
      </c>
      <c r="C596" s="18" t="s">
        <v>174</v>
      </c>
      <c r="D596" s="9"/>
      <c r="E596" s="19">
        <f>E597</f>
        <v>499.2</v>
      </c>
      <c r="F596" s="19">
        <f t="shared" si="244"/>
        <v>294.39999999999998</v>
      </c>
      <c r="G596" s="19">
        <f t="shared" si="244"/>
        <v>294.39999999999998</v>
      </c>
    </row>
    <row r="597" spans="1:7" ht="63" outlineLevel="2" x14ac:dyDescent="0.25">
      <c r="A597" s="17" t="s">
        <v>175</v>
      </c>
      <c r="B597" s="18" t="s">
        <v>100</v>
      </c>
      <c r="C597" s="18" t="s">
        <v>488</v>
      </c>
      <c r="D597" s="9"/>
      <c r="E597" s="19">
        <f>E598</f>
        <v>499.2</v>
      </c>
      <c r="F597" s="19">
        <f t="shared" si="244"/>
        <v>294.39999999999998</v>
      </c>
      <c r="G597" s="19">
        <f t="shared" si="244"/>
        <v>294.39999999999998</v>
      </c>
    </row>
    <row r="598" spans="1:7" ht="47.25" outlineLevel="2" x14ac:dyDescent="0.25">
      <c r="A598" s="17" t="s">
        <v>94</v>
      </c>
      <c r="B598" s="18" t="s">
        <v>100</v>
      </c>
      <c r="C598" s="18" t="s">
        <v>488</v>
      </c>
      <c r="D598" s="9">
        <v>600</v>
      </c>
      <c r="E598" s="19">
        <v>499.2</v>
      </c>
      <c r="F598" s="19">
        <v>294.39999999999998</v>
      </c>
      <c r="G598" s="19">
        <v>294.39999999999998</v>
      </c>
    </row>
    <row r="599" spans="1:7" outlineLevel="2" x14ac:dyDescent="0.25">
      <c r="A599" s="17" t="s">
        <v>144</v>
      </c>
      <c r="B599" s="18" t="s">
        <v>100</v>
      </c>
      <c r="C599" s="18" t="s">
        <v>176</v>
      </c>
      <c r="D599" s="9"/>
      <c r="E599" s="19">
        <f>E600</f>
        <v>58531.5</v>
      </c>
      <c r="F599" s="19">
        <f t="shared" ref="F599:G599" si="245">F600</f>
        <v>47328.200000000004</v>
      </c>
      <c r="G599" s="19">
        <f t="shared" si="245"/>
        <v>48654.2</v>
      </c>
    </row>
    <row r="600" spans="1:7" ht="78.75" outlineLevel="2" x14ac:dyDescent="0.25">
      <c r="A600" s="17" t="s">
        <v>177</v>
      </c>
      <c r="B600" s="18" t="s">
        <v>100</v>
      </c>
      <c r="C600" s="18" t="s">
        <v>178</v>
      </c>
      <c r="D600" s="9"/>
      <c r="E600" s="19">
        <f>E601+E603+E605</f>
        <v>58531.5</v>
      </c>
      <c r="F600" s="19">
        <f t="shared" ref="F600:G600" si="246">F601+F603+F605</f>
        <v>47328.200000000004</v>
      </c>
      <c r="G600" s="19">
        <f t="shared" si="246"/>
        <v>48654.2</v>
      </c>
    </row>
    <row r="601" spans="1:7" ht="31.5" outlineLevel="2" x14ac:dyDescent="0.25">
      <c r="A601" s="17" t="s">
        <v>179</v>
      </c>
      <c r="B601" s="18" t="s">
        <v>100</v>
      </c>
      <c r="C601" s="18" t="s">
        <v>180</v>
      </c>
      <c r="D601" s="9"/>
      <c r="E601" s="19">
        <f>E602</f>
        <v>3300</v>
      </c>
      <c r="F601" s="19">
        <f t="shared" ref="F601:G601" si="247">F602</f>
        <v>3000</v>
      </c>
      <c r="G601" s="19">
        <f t="shared" si="247"/>
        <v>3000</v>
      </c>
    </row>
    <row r="602" spans="1:7" ht="31.5" outlineLevel="2" x14ac:dyDescent="0.25">
      <c r="A602" s="17" t="s">
        <v>76</v>
      </c>
      <c r="B602" s="18" t="s">
        <v>100</v>
      </c>
      <c r="C602" s="18" t="s">
        <v>180</v>
      </c>
      <c r="D602" s="9">
        <v>200</v>
      </c>
      <c r="E602" s="19">
        <v>3300</v>
      </c>
      <c r="F602" s="19">
        <v>3000</v>
      </c>
      <c r="G602" s="19">
        <v>3000</v>
      </c>
    </row>
    <row r="603" spans="1:7" ht="31.5" outlineLevel="2" x14ac:dyDescent="0.25">
      <c r="A603" s="49" t="s">
        <v>181</v>
      </c>
      <c r="B603" s="18" t="s">
        <v>100</v>
      </c>
      <c r="C603" s="18" t="s">
        <v>182</v>
      </c>
      <c r="D603" s="9"/>
      <c r="E603" s="19">
        <f>E604</f>
        <v>750</v>
      </c>
      <c r="F603" s="19">
        <f t="shared" ref="F603:G603" si="248">F604</f>
        <v>600</v>
      </c>
      <c r="G603" s="19">
        <f t="shared" si="248"/>
        <v>600</v>
      </c>
    </row>
    <row r="604" spans="1:7" ht="31.5" outlineLevel="2" x14ac:dyDescent="0.25">
      <c r="A604" s="17" t="s">
        <v>20</v>
      </c>
      <c r="B604" s="18" t="s">
        <v>100</v>
      </c>
      <c r="C604" s="18" t="s">
        <v>182</v>
      </c>
      <c r="D604" s="9">
        <v>300</v>
      </c>
      <c r="E604" s="19">
        <f>650+100</f>
        <v>750</v>
      </c>
      <c r="F604" s="19">
        <v>600</v>
      </c>
      <c r="G604" s="19">
        <v>600</v>
      </c>
    </row>
    <row r="605" spans="1:7" ht="47.25" outlineLevel="2" x14ac:dyDescent="0.25">
      <c r="A605" s="17" t="s">
        <v>183</v>
      </c>
      <c r="B605" s="18" t="s">
        <v>100</v>
      </c>
      <c r="C605" s="18" t="s">
        <v>184</v>
      </c>
      <c r="D605" s="9"/>
      <c r="E605" s="19">
        <f>E606</f>
        <v>54481.5</v>
      </c>
      <c r="F605" s="19">
        <f t="shared" ref="F605:G605" si="249">F606</f>
        <v>43728.200000000004</v>
      </c>
      <c r="G605" s="19">
        <f t="shared" si="249"/>
        <v>45054.2</v>
      </c>
    </row>
    <row r="606" spans="1:7" ht="47.25" outlineLevel="2" x14ac:dyDescent="0.25">
      <c r="A606" s="17" t="s">
        <v>94</v>
      </c>
      <c r="B606" s="18" t="s">
        <v>100</v>
      </c>
      <c r="C606" s="18" t="s">
        <v>184</v>
      </c>
      <c r="D606" s="9">
        <v>600</v>
      </c>
      <c r="E606" s="19">
        <f>36942.3+4344.5+4325.6+8075.5+230+166+397.6</f>
        <v>54481.5</v>
      </c>
      <c r="F606" s="19">
        <f>38201.8+5526.4</f>
        <v>43728.200000000004</v>
      </c>
      <c r="G606" s="19">
        <f>39462.2+5592</f>
        <v>45054.2</v>
      </c>
    </row>
    <row r="607" spans="1:7" outlineLevel="1" x14ac:dyDescent="0.25">
      <c r="A607" s="20" t="s">
        <v>263</v>
      </c>
      <c r="B607" s="18" t="s">
        <v>264</v>
      </c>
      <c r="C607" s="61"/>
      <c r="D607" s="9"/>
      <c r="E607" s="19">
        <f>E608</f>
        <v>236511.30000000002</v>
      </c>
      <c r="F607" s="19">
        <f t="shared" ref="F607:G608" si="250">F608</f>
        <v>209211.59999999998</v>
      </c>
      <c r="G607" s="19">
        <f t="shared" si="250"/>
        <v>213913.5</v>
      </c>
    </row>
    <row r="608" spans="1:7" ht="31.5" outlineLevel="2" x14ac:dyDescent="0.25">
      <c r="A608" s="20" t="s">
        <v>209</v>
      </c>
      <c r="B608" s="18" t="s">
        <v>264</v>
      </c>
      <c r="C608" s="18" t="s">
        <v>210</v>
      </c>
      <c r="D608" s="9"/>
      <c r="E608" s="19">
        <f>E609</f>
        <v>236511.30000000002</v>
      </c>
      <c r="F608" s="19">
        <f t="shared" si="250"/>
        <v>209211.59999999998</v>
      </c>
      <c r="G608" s="19">
        <f t="shared" si="250"/>
        <v>213913.5</v>
      </c>
    </row>
    <row r="609" spans="1:7" outlineLevel="2" x14ac:dyDescent="0.25">
      <c r="A609" s="8" t="s">
        <v>144</v>
      </c>
      <c r="B609" s="18" t="s">
        <v>264</v>
      </c>
      <c r="C609" s="18" t="s">
        <v>216</v>
      </c>
      <c r="D609" s="9"/>
      <c r="E609" s="19">
        <f>E610+E619+E631+E638</f>
        <v>236511.30000000002</v>
      </c>
      <c r="F609" s="19">
        <f>F610+F619+F631+F638</f>
        <v>209211.59999999998</v>
      </c>
      <c r="G609" s="19">
        <f>G610+G619+G631+G638</f>
        <v>213913.5</v>
      </c>
    </row>
    <row r="610" spans="1:7" ht="63" outlineLevel="2" x14ac:dyDescent="0.25">
      <c r="A610" s="34" t="s">
        <v>496</v>
      </c>
      <c r="B610" s="18" t="s">
        <v>264</v>
      </c>
      <c r="C610" s="18" t="s">
        <v>217</v>
      </c>
      <c r="D610" s="9"/>
      <c r="E610" s="19">
        <f>E613+E616+E611</f>
        <v>15330.400000000001</v>
      </c>
      <c r="F610" s="19">
        <f t="shared" ref="F610:G610" si="251">F613+F616+F611</f>
        <v>2431.9</v>
      </c>
      <c r="G610" s="19">
        <f t="shared" si="251"/>
        <v>2431.9</v>
      </c>
    </row>
    <row r="611" spans="1:7" ht="47.25" outlineLevel="2" x14ac:dyDescent="0.25">
      <c r="A611" s="8" t="s">
        <v>151</v>
      </c>
      <c r="B611" s="18" t="s">
        <v>264</v>
      </c>
      <c r="C611" s="18" t="s">
        <v>218</v>
      </c>
      <c r="D611" s="9"/>
      <c r="E611" s="19">
        <f>E612</f>
        <v>12700</v>
      </c>
      <c r="F611" s="19">
        <f t="shared" ref="F611:G611" si="252">F612</f>
        <v>0</v>
      </c>
      <c r="G611" s="19">
        <f t="shared" si="252"/>
        <v>0</v>
      </c>
    </row>
    <row r="612" spans="1:7" ht="47.25" outlineLevel="2" x14ac:dyDescent="0.25">
      <c r="A612" s="8" t="s">
        <v>94</v>
      </c>
      <c r="B612" s="18" t="s">
        <v>264</v>
      </c>
      <c r="C612" s="18" t="s">
        <v>218</v>
      </c>
      <c r="D612" s="9">
        <v>600</v>
      </c>
      <c r="E612" s="19">
        <f>10000+2700</f>
        <v>12700</v>
      </c>
      <c r="F612" s="19">
        <v>0</v>
      </c>
      <c r="G612" s="19">
        <v>0</v>
      </c>
    </row>
    <row r="613" spans="1:7" ht="78.75" outlineLevel="2" x14ac:dyDescent="0.25">
      <c r="A613" s="33" t="s">
        <v>265</v>
      </c>
      <c r="B613" s="18" t="s">
        <v>264</v>
      </c>
      <c r="C613" s="18" t="s">
        <v>266</v>
      </c>
      <c r="D613" s="9"/>
      <c r="E613" s="19">
        <f>E614+E615</f>
        <v>1257.4000000000001</v>
      </c>
      <c r="F613" s="19">
        <f t="shared" ref="F613:G613" si="253">F614+F615</f>
        <v>1257.1000000000001</v>
      </c>
      <c r="G613" s="19">
        <f t="shared" si="253"/>
        <v>1257.1000000000001</v>
      </c>
    </row>
    <row r="614" spans="1:7" ht="94.5" outlineLevel="2" x14ac:dyDescent="0.25">
      <c r="A614" s="20" t="s">
        <v>13</v>
      </c>
      <c r="B614" s="18" t="s">
        <v>264</v>
      </c>
      <c r="C614" s="18" t="s">
        <v>266</v>
      </c>
      <c r="D614" s="9">
        <v>100</v>
      </c>
      <c r="E614" s="19">
        <f>429.6+129.8+235.6</f>
        <v>795.00000000000011</v>
      </c>
      <c r="F614" s="19">
        <v>795.00000000000011</v>
      </c>
      <c r="G614" s="19">
        <v>795.00000000000011</v>
      </c>
    </row>
    <row r="615" spans="1:7" ht="31.5" outlineLevel="2" x14ac:dyDescent="0.25">
      <c r="A615" s="20" t="s">
        <v>76</v>
      </c>
      <c r="B615" s="18" t="s">
        <v>264</v>
      </c>
      <c r="C615" s="18" t="s">
        <v>266</v>
      </c>
      <c r="D615" s="9">
        <v>200</v>
      </c>
      <c r="E615" s="19">
        <f>462.4</f>
        <v>462.4</v>
      </c>
      <c r="F615" s="19">
        <v>462.1</v>
      </c>
      <c r="G615" s="19">
        <v>462.1</v>
      </c>
    </row>
    <row r="616" spans="1:7" ht="157.5" outlineLevel="2" x14ac:dyDescent="0.25">
      <c r="A616" s="33" t="s">
        <v>244</v>
      </c>
      <c r="B616" s="18" t="s">
        <v>264</v>
      </c>
      <c r="C616" s="18" t="s">
        <v>245</v>
      </c>
      <c r="D616" s="9"/>
      <c r="E616" s="19">
        <f>E617+E618</f>
        <v>1373.0000000000002</v>
      </c>
      <c r="F616" s="19">
        <f t="shared" ref="F616:G616" si="254">F617+F618</f>
        <v>1174.8</v>
      </c>
      <c r="G616" s="19">
        <f t="shared" si="254"/>
        <v>1174.8</v>
      </c>
    </row>
    <row r="617" spans="1:7" ht="94.5" outlineLevel="2" x14ac:dyDescent="0.25">
      <c r="A617" s="20" t="s">
        <v>13</v>
      </c>
      <c r="B617" s="18" t="s">
        <v>264</v>
      </c>
      <c r="C617" s="18" t="s">
        <v>245</v>
      </c>
      <c r="D617" s="9">
        <v>100</v>
      </c>
      <c r="E617" s="19">
        <f>852.8+257.6+64.4</f>
        <v>1174.8000000000002</v>
      </c>
      <c r="F617" s="19">
        <v>1174.8</v>
      </c>
      <c r="G617" s="19">
        <v>1174.8</v>
      </c>
    </row>
    <row r="618" spans="1:7" ht="31.5" outlineLevel="2" x14ac:dyDescent="0.25">
      <c r="A618" s="20" t="s">
        <v>76</v>
      </c>
      <c r="B618" s="18" t="s">
        <v>264</v>
      </c>
      <c r="C618" s="18" t="s">
        <v>245</v>
      </c>
      <c r="D618" s="9">
        <v>200</v>
      </c>
      <c r="E618" s="19">
        <v>198.2</v>
      </c>
      <c r="F618" s="19">
        <v>0</v>
      </c>
      <c r="G618" s="19">
        <v>0</v>
      </c>
    </row>
    <row r="619" spans="1:7" ht="47.25" outlineLevel="2" x14ac:dyDescent="0.25">
      <c r="A619" s="33" t="s">
        <v>497</v>
      </c>
      <c r="B619" s="18" t="s">
        <v>264</v>
      </c>
      <c r="C619" s="23" t="s">
        <v>269</v>
      </c>
      <c r="D619" s="9"/>
      <c r="E619" s="19">
        <f>E620+E622+E624+E626+E628</f>
        <v>17011.7</v>
      </c>
      <c r="F619" s="19">
        <f t="shared" ref="F619:G619" si="255">F620+F622+F624+F626+F628</f>
        <v>8811.3000000000011</v>
      </c>
      <c r="G619" s="19">
        <f t="shared" si="255"/>
        <v>8773.2999999999993</v>
      </c>
    </row>
    <row r="620" spans="1:7" ht="63" outlineLevel="2" x14ac:dyDescent="0.25">
      <c r="A620" s="33" t="s">
        <v>270</v>
      </c>
      <c r="B620" s="18" t="s">
        <v>264</v>
      </c>
      <c r="C620" s="18" t="s">
        <v>271</v>
      </c>
      <c r="D620" s="9"/>
      <c r="E620" s="19">
        <f>E621</f>
        <v>63.3</v>
      </c>
      <c r="F620" s="19">
        <f t="shared" ref="F620:G620" si="256">F621</f>
        <v>64.2</v>
      </c>
      <c r="G620" s="19">
        <f t="shared" si="256"/>
        <v>64.2</v>
      </c>
    </row>
    <row r="621" spans="1:7" ht="31.5" outlineLevel="2" x14ac:dyDescent="0.25">
      <c r="A621" s="20" t="s">
        <v>76</v>
      </c>
      <c r="B621" s="18" t="s">
        <v>264</v>
      </c>
      <c r="C621" s="18" t="s">
        <v>271</v>
      </c>
      <c r="D621" s="9">
        <v>200</v>
      </c>
      <c r="E621" s="19">
        <v>63.3</v>
      </c>
      <c r="F621" s="19">
        <v>64.2</v>
      </c>
      <c r="G621" s="19">
        <v>64.2</v>
      </c>
    </row>
    <row r="622" spans="1:7" ht="110.25" outlineLevel="2" x14ac:dyDescent="0.25">
      <c r="A622" s="33" t="s">
        <v>272</v>
      </c>
      <c r="B622" s="18" t="s">
        <v>264</v>
      </c>
      <c r="C622" s="18" t="s">
        <v>273</v>
      </c>
      <c r="D622" s="9"/>
      <c r="E622" s="19">
        <f>E623</f>
        <v>2.2999999999999998</v>
      </c>
      <c r="F622" s="19">
        <f t="shared" ref="F622:G622" si="257">F623</f>
        <v>2.2999999999999998</v>
      </c>
      <c r="G622" s="19">
        <f t="shared" si="257"/>
        <v>2.2999999999999998</v>
      </c>
    </row>
    <row r="623" spans="1:7" ht="31.5" outlineLevel="2" x14ac:dyDescent="0.25">
      <c r="A623" s="20" t="s">
        <v>76</v>
      </c>
      <c r="B623" s="18" t="s">
        <v>264</v>
      </c>
      <c r="C623" s="18" t="s">
        <v>273</v>
      </c>
      <c r="D623" s="9">
        <v>200</v>
      </c>
      <c r="E623" s="19">
        <v>2.2999999999999998</v>
      </c>
      <c r="F623" s="19">
        <v>2.2999999999999998</v>
      </c>
      <c r="G623" s="19">
        <v>2.2999999999999998</v>
      </c>
    </row>
    <row r="624" spans="1:7" ht="94.5" outlineLevel="2" x14ac:dyDescent="0.25">
      <c r="A624" s="33" t="s">
        <v>274</v>
      </c>
      <c r="B624" s="18" t="s">
        <v>264</v>
      </c>
      <c r="C624" s="18" t="s">
        <v>275</v>
      </c>
      <c r="D624" s="24"/>
      <c r="E624" s="19">
        <f>E625</f>
        <v>800.3</v>
      </c>
      <c r="F624" s="19">
        <f t="shared" ref="F624:G624" si="258">F625</f>
        <v>800.3</v>
      </c>
      <c r="G624" s="19">
        <f t="shared" si="258"/>
        <v>800.3</v>
      </c>
    </row>
    <row r="625" spans="1:7" ht="31.5" outlineLevel="2" x14ac:dyDescent="0.25">
      <c r="A625" s="20" t="s">
        <v>76</v>
      </c>
      <c r="B625" s="18" t="s">
        <v>264</v>
      </c>
      <c r="C625" s="18" t="s">
        <v>275</v>
      </c>
      <c r="D625" s="24">
        <v>200</v>
      </c>
      <c r="E625" s="19">
        <v>800.3</v>
      </c>
      <c r="F625" s="19">
        <v>800.3</v>
      </c>
      <c r="G625" s="19">
        <v>800.3</v>
      </c>
    </row>
    <row r="626" spans="1:7" ht="31.5" outlineLevel="2" x14ac:dyDescent="0.25">
      <c r="A626" s="8" t="s">
        <v>276</v>
      </c>
      <c r="B626" s="18" t="s">
        <v>264</v>
      </c>
      <c r="C626" s="18" t="s">
        <v>277</v>
      </c>
      <c r="D626" s="9"/>
      <c r="E626" s="19">
        <f>E627</f>
        <v>2000</v>
      </c>
      <c r="F626" s="19">
        <f t="shared" ref="F626:G626" si="259">F627</f>
        <v>2000</v>
      </c>
      <c r="G626" s="19">
        <f t="shared" si="259"/>
        <v>2000</v>
      </c>
    </row>
    <row r="627" spans="1:7" ht="47.25" outlineLevel="2" x14ac:dyDescent="0.25">
      <c r="A627" s="20" t="s">
        <v>94</v>
      </c>
      <c r="B627" s="18" t="s">
        <v>264</v>
      </c>
      <c r="C627" s="18" t="s">
        <v>277</v>
      </c>
      <c r="D627" s="9">
        <v>600</v>
      </c>
      <c r="E627" s="19">
        <v>2000</v>
      </c>
      <c r="F627" s="19">
        <v>2000</v>
      </c>
      <c r="G627" s="19">
        <v>2000</v>
      </c>
    </row>
    <row r="628" spans="1:7" ht="47.25" outlineLevel="2" x14ac:dyDescent="0.25">
      <c r="A628" s="33" t="s">
        <v>278</v>
      </c>
      <c r="B628" s="18" t="s">
        <v>264</v>
      </c>
      <c r="C628" s="61" t="s">
        <v>279</v>
      </c>
      <c r="D628" s="9"/>
      <c r="E628" s="19">
        <f>E629+E630</f>
        <v>14145.8</v>
      </c>
      <c r="F628" s="19">
        <f t="shared" ref="F628:G628" si="260">F629+F630</f>
        <v>5944.5000000000009</v>
      </c>
      <c r="G628" s="19">
        <f t="shared" si="260"/>
        <v>5906.5</v>
      </c>
    </row>
    <row r="629" spans="1:7" ht="31.5" outlineLevel="2" x14ac:dyDescent="0.25">
      <c r="A629" s="20" t="s">
        <v>76</v>
      </c>
      <c r="B629" s="18" t="s">
        <v>264</v>
      </c>
      <c r="C629" s="61" t="s">
        <v>279</v>
      </c>
      <c r="D629" s="9">
        <v>200</v>
      </c>
      <c r="E629" s="19">
        <f>3+47.5</f>
        <v>50.5</v>
      </c>
      <c r="F629" s="19">
        <f>3+47.5</f>
        <v>50.5</v>
      </c>
      <c r="G629" s="19">
        <f>3+47.5</f>
        <v>50.5</v>
      </c>
    </row>
    <row r="630" spans="1:7" ht="31.5" outlineLevel="2" x14ac:dyDescent="0.25">
      <c r="A630" s="20" t="s">
        <v>20</v>
      </c>
      <c r="B630" s="18" t="s">
        <v>264</v>
      </c>
      <c r="C630" s="61" t="s">
        <v>279</v>
      </c>
      <c r="D630" s="9">
        <v>300</v>
      </c>
      <c r="E630" s="19">
        <f>14088+0.5+6.8</f>
        <v>14095.3</v>
      </c>
      <c r="F630" s="19">
        <f>14085.1-491.4-7699.7</f>
        <v>5894.0000000000009</v>
      </c>
      <c r="G630" s="19">
        <f>14085.1-493.7-7735.4</f>
        <v>5856</v>
      </c>
    </row>
    <row r="631" spans="1:7" ht="63" outlineLevel="2" x14ac:dyDescent="0.25">
      <c r="A631" s="33" t="s">
        <v>490</v>
      </c>
      <c r="B631" s="18" t="s">
        <v>264</v>
      </c>
      <c r="C631" s="23" t="s">
        <v>223</v>
      </c>
      <c r="D631" s="9"/>
      <c r="E631" s="19">
        <f>E632+E634+E636</f>
        <v>8309.6</v>
      </c>
      <c r="F631" s="19">
        <f t="shared" ref="F631:G631" si="261">F632+F634+F636</f>
        <v>3387.8</v>
      </c>
      <c r="G631" s="19">
        <f t="shared" si="261"/>
        <v>3387.8</v>
      </c>
    </row>
    <row r="632" spans="1:7" ht="31.5" outlineLevel="2" x14ac:dyDescent="0.25">
      <c r="A632" s="62" t="s">
        <v>250</v>
      </c>
      <c r="B632" s="18" t="s">
        <v>264</v>
      </c>
      <c r="C632" s="61" t="s">
        <v>251</v>
      </c>
      <c r="D632" s="9"/>
      <c r="E632" s="19">
        <f>E633</f>
        <v>1447</v>
      </c>
      <c r="F632" s="19">
        <f t="shared" ref="F632:G632" si="262">F633</f>
        <v>1447</v>
      </c>
      <c r="G632" s="19">
        <f t="shared" si="262"/>
        <v>1447</v>
      </c>
    </row>
    <row r="633" spans="1:7" ht="47.25" outlineLevel="2" x14ac:dyDescent="0.25">
      <c r="A633" s="20" t="s">
        <v>94</v>
      </c>
      <c r="B633" s="18" t="s">
        <v>264</v>
      </c>
      <c r="C633" s="61" t="s">
        <v>251</v>
      </c>
      <c r="D633" s="9">
        <v>600</v>
      </c>
      <c r="E633" s="19">
        <v>1447</v>
      </c>
      <c r="F633" s="19">
        <v>1447</v>
      </c>
      <c r="G633" s="19">
        <v>1447</v>
      </c>
    </row>
    <row r="634" spans="1:7" ht="31.5" outlineLevel="2" x14ac:dyDescent="0.25">
      <c r="A634" s="33" t="s">
        <v>280</v>
      </c>
      <c r="B634" s="18" t="s">
        <v>264</v>
      </c>
      <c r="C634" s="61" t="s">
        <v>281</v>
      </c>
      <c r="D634" s="24"/>
      <c r="E634" s="19">
        <f>E635</f>
        <v>4862.6000000000004</v>
      </c>
      <c r="F634" s="19">
        <f t="shared" ref="F634:G634" si="263">F635</f>
        <v>1940.8</v>
      </c>
      <c r="G634" s="19">
        <f t="shared" si="263"/>
        <v>1940.8</v>
      </c>
    </row>
    <row r="635" spans="1:7" ht="47.25" outlineLevel="2" x14ac:dyDescent="0.25">
      <c r="A635" s="20" t="s">
        <v>94</v>
      </c>
      <c r="B635" s="18" t="s">
        <v>264</v>
      </c>
      <c r="C635" s="61" t="s">
        <v>281</v>
      </c>
      <c r="D635" s="24">
        <v>600</v>
      </c>
      <c r="E635" s="19">
        <f>3368.3-5.7+1500</f>
        <v>4862.6000000000004</v>
      </c>
      <c r="F635" s="19">
        <v>1940.8</v>
      </c>
      <c r="G635" s="19">
        <v>1940.8</v>
      </c>
    </row>
    <row r="636" spans="1:7" ht="94.5" outlineLevel="2" x14ac:dyDescent="0.25">
      <c r="A636" s="63" t="s">
        <v>629</v>
      </c>
      <c r="B636" s="18" t="s">
        <v>264</v>
      </c>
      <c r="C636" s="18" t="s">
        <v>630</v>
      </c>
      <c r="D636" s="18"/>
      <c r="E636" s="19">
        <f>E637</f>
        <v>2000</v>
      </c>
      <c r="F636" s="19">
        <f t="shared" ref="F636:G636" si="264">F637</f>
        <v>0</v>
      </c>
      <c r="G636" s="19">
        <f t="shared" si="264"/>
        <v>0</v>
      </c>
    </row>
    <row r="637" spans="1:7" ht="47.25" outlineLevel="2" x14ac:dyDescent="0.25">
      <c r="A637" s="20" t="s">
        <v>94</v>
      </c>
      <c r="B637" s="18" t="s">
        <v>264</v>
      </c>
      <c r="C637" s="18" t="s">
        <v>630</v>
      </c>
      <c r="D637" s="18" t="s">
        <v>95</v>
      </c>
      <c r="E637" s="19">
        <v>2000</v>
      </c>
      <c r="F637" s="19">
        <v>0</v>
      </c>
      <c r="G637" s="19">
        <v>0</v>
      </c>
    </row>
    <row r="638" spans="1:7" ht="47.25" outlineLevel="2" x14ac:dyDescent="0.25">
      <c r="A638" s="33" t="s">
        <v>498</v>
      </c>
      <c r="B638" s="18" t="s">
        <v>264</v>
      </c>
      <c r="C638" s="23" t="s">
        <v>282</v>
      </c>
      <c r="D638" s="9"/>
      <c r="E638" s="19">
        <f>E639+E643+E649+E645</f>
        <v>195859.6</v>
      </c>
      <c r="F638" s="19">
        <f t="shared" ref="F638:G638" si="265">F639+F643+F649+F645</f>
        <v>194580.59999999998</v>
      </c>
      <c r="G638" s="19">
        <f t="shared" si="265"/>
        <v>199320.5</v>
      </c>
    </row>
    <row r="639" spans="1:7" ht="47.25" outlineLevel="2" x14ac:dyDescent="0.25">
      <c r="A639" s="33" t="s">
        <v>159</v>
      </c>
      <c r="B639" s="18" t="s">
        <v>264</v>
      </c>
      <c r="C639" s="61" t="s">
        <v>283</v>
      </c>
      <c r="D639" s="9"/>
      <c r="E639" s="19">
        <f>E640+E641+E642</f>
        <v>56360.100000000006</v>
      </c>
      <c r="F639" s="19">
        <f t="shared" ref="F639:G639" si="266">F640+F641</f>
        <v>53253.3</v>
      </c>
      <c r="G639" s="19">
        <f t="shared" si="266"/>
        <v>53253.3</v>
      </c>
    </row>
    <row r="640" spans="1:7" ht="94.5" outlineLevel="2" x14ac:dyDescent="0.25">
      <c r="A640" s="20" t="s">
        <v>13</v>
      </c>
      <c r="B640" s="18" t="s">
        <v>264</v>
      </c>
      <c r="C640" s="61" t="s">
        <v>283</v>
      </c>
      <c r="D640" s="9">
        <v>100</v>
      </c>
      <c r="E640" s="19">
        <f>38288+11563+60.9-510.6+4857.8+100+300</f>
        <v>54659.100000000006</v>
      </c>
      <c r="F640" s="19">
        <f>39660.8+11977.6+60.9</f>
        <v>51699.3</v>
      </c>
      <c r="G640" s="19">
        <f>39660.8+11977.6+60.9</f>
        <v>51699.3</v>
      </c>
    </row>
    <row r="641" spans="1:7" ht="31.5" outlineLevel="2" x14ac:dyDescent="0.25">
      <c r="A641" s="20" t="s">
        <v>76</v>
      </c>
      <c r="B641" s="18" t="s">
        <v>264</v>
      </c>
      <c r="C641" s="61" t="s">
        <v>283</v>
      </c>
      <c r="D641" s="9">
        <v>200</v>
      </c>
      <c r="E641" s="19">
        <f>1614.9-60.9-100-300</f>
        <v>1154</v>
      </c>
      <c r="F641" s="19">
        <f>1614.9-60.9</f>
        <v>1554</v>
      </c>
      <c r="G641" s="19">
        <f>1614.9-60.9</f>
        <v>1554</v>
      </c>
    </row>
    <row r="642" spans="1:7" ht="31.5" outlineLevel="2" x14ac:dyDescent="0.25">
      <c r="A642" s="75" t="s">
        <v>20</v>
      </c>
      <c r="B642" s="76" t="s">
        <v>264</v>
      </c>
      <c r="C642" s="76" t="s">
        <v>283</v>
      </c>
      <c r="D642" s="76" t="s">
        <v>561</v>
      </c>
      <c r="E642" s="19">
        <v>547</v>
      </c>
      <c r="F642" s="19">
        <v>0</v>
      </c>
      <c r="G642" s="19">
        <v>0</v>
      </c>
    </row>
    <row r="643" spans="1:7" ht="38.25" customHeight="1" outlineLevel="2" x14ac:dyDescent="0.25">
      <c r="A643" s="8" t="s">
        <v>151</v>
      </c>
      <c r="B643" s="18" t="s">
        <v>264</v>
      </c>
      <c r="C643" s="61" t="s">
        <v>284</v>
      </c>
      <c r="D643" s="9"/>
      <c r="E643" s="19">
        <f>E644</f>
        <v>10963.199999999999</v>
      </c>
      <c r="F643" s="19">
        <f t="shared" ref="F643:G643" si="267">F644</f>
        <v>10610.7</v>
      </c>
      <c r="G643" s="19">
        <f t="shared" si="267"/>
        <v>11024.5</v>
      </c>
    </row>
    <row r="644" spans="1:7" ht="47.25" outlineLevel="2" x14ac:dyDescent="0.25">
      <c r="A644" s="20" t="s">
        <v>94</v>
      </c>
      <c r="B644" s="18" t="s">
        <v>264</v>
      </c>
      <c r="C644" s="61" t="s">
        <v>284</v>
      </c>
      <c r="D644" s="9">
        <v>600</v>
      </c>
      <c r="E644" s="19">
        <f>10212.9+642+108.3</f>
        <v>10963.199999999999</v>
      </c>
      <c r="F644" s="19">
        <v>10610.7</v>
      </c>
      <c r="G644" s="19">
        <v>11024.5</v>
      </c>
    </row>
    <row r="645" spans="1:7" ht="47.25" outlineLevel="2" x14ac:dyDescent="0.25">
      <c r="A645" s="20" t="s">
        <v>285</v>
      </c>
      <c r="B645" s="18" t="s">
        <v>264</v>
      </c>
      <c r="C645" s="61" t="s">
        <v>286</v>
      </c>
      <c r="D645" s="9"/>
      <c r="E645" s="19">
        <f>E646+E647+E648</f>
        <v>108619</v>
      </c>
      <c r="F645" s="19">
        <f t="shared" ref="F645:G645" si="268">F646+F647+F648</f>
        <v>110799.29999999999</v>
      </c>
      <c r="G645" s="19">
        <f t="shared" si="268"/>
        <v>115125.4</v>
      </c>
    </row>
    <row r="646" spans="1:7" ht="94.5" outlineLevel="2" x14ac:dyDescent="0.25">
      <c r="A646" s="20" t="s">
        <v>13</v>
      </c>
      <c r="B646" s="18" t="s">
        <v>264</v>
      </c>
      <c r="C646" s="61" t="s">
        <v>286</v>
      </c>
      <c r="D646" s="9">
        <v>100</v>
      </c>
      <c r="E646" s="19">
        <f>103993</f>
        <v>103993</v>
      </c>
      <c r="F646" s="19">
        <v>108152.7</v>
      </c>
      <c r="G646" s="19">
        <v>112478.8</v>
      </c>
    </row>
    <row r="647" spans="1:7" ht="31.5" outlineLevel="2" x14ac:dyDescent="0.25">
      <c r="A647" s="20" t="s">
        <v>76</v>
      </c>
      <c r="B647" s="18" t="s">
        <v>264</v>
      </c>
      <c r="C647" s="61" t="s">
        <v>286</v>
      </c>
      <c r="D647" s="9">
        <v>200</v>
      </c>
      <c r="E647" s="19">
        <f>2644.9+903+1076.4</f>
        <v>4624.3</v>
      </c>
      <c r="F647" s="19">
        <v>2644.9</v>
      </c>
      <c r="G647" s="19">
        <v>2644.9</v>
      </c>
    </row>
    <row r="648" spans="1:7" outlineLevel="2" x14ac:dyDescent="0.25">
      <c r="A648" s="8" t="s">
        <v>33</v>
      </c>
      <c r="B648" s="18" t="s">
        <v>264</v>
      </c>
      <c r="C648" s="61" t="s">
        <v>286</v>
      </c>
      <c r="D648" s="9">
        <v>800</v>
      </c>
      <c r="E648" s="19">
        <v>1.7</v>
      </c>
      <c r="F648" s="19">
        <v>1.7</v>
      </c>
      <c r="G648" s="19">
        <v>1.7</v>
      </c>
    </row>
    <row r="649" spans="1:7" ht="63" outlineLevel="2" x14ac:dyDescent="0.25">
      <c r="A649" s="33" t="s">
        <v>287</v>
      </c>
      <c r="B649" s="18" t="s">
        <v>264</v>
      </c>
      <c r="C649" s="23" t="s">
        <v>288</v>
      </c>
      <c r="D649" s="9"/>
      <c r="E649" s="19">
        <f>E650+E651</f>
        <v>19917.3</v>
      </c>
      <c r="F649" s="19">
        <f t="shared" ref="F649:G649" si="269">F650+F651</f>
        <v>19917.3</v>
      </c>
      <c r="G649" s="19">
        <f t="shared" si="269"/>
        <v>19917.3</v>
      </c>
    </row>
    <row r="650" spans="1:7" ht="94.5" outlineLevel="2" x14ac:dyDescent="0.25">
      <c r="A650" s="20" t="s">
        <v>13</v>
      </c>
      <c r="B650" s="18" t="s">
        <v>264</v>
      </c>
      <c r="C650" s="23" t="s">
        <v>288</v>
      </c>
      <c r="D650" s="24">
        <v>100</v>
      </c>
      <c r="E650" s="19">
        <f>14990.3+4527</f>
        <v>19517.3</v>
      </c>
      <c r="F650" s="19">
        <f>E650</f>
        <v>19517.3</v>
      </c>
      <c r="G650" s="19">
        <f>F650</f>
        <v>19517.3</v>
      </c>
    </row>
    <row r="651" spans="1:7" ht="31.5" outlineLevel="2" x14ac:dyDescent="0.25">
      <c r="A651" s="20" t="s">
        <v>76</v>
      </c>
      <c r="B651" s="18" t="s">
        <v>264</v>
      </c>
      <c r="C651" s="23" t="s">
        <v>288</v>
      </c>
      <c r="D651" s="24">
        <v>200</v>
      </c>
      <c r="E651" s="19">
        <v>400</v>
      </c>
      <c r="F651" s="19">
        <v>400</v>
      </c>
      <c r="G651" s="19">
        <v>400</v>
      </c>
    </row>
    <row r="652" spans="1:7" x14ac:dyDescent="0.25">
      <c r="A652" s="64" t="s">
        <v>103</v>
      </c>
      <c r="B652" s="65" t="s">
        <v>104</v>
      </c>
      <c r="C652" s="65"/>
      <c r="D652" s="38"/>
      <c r="E652" s="66">
        <f t="shared" ref="E652:F652" si="270">E653+E670</f>
        <v>474319.59999999992</v>
      </c>
      <c r="F652" s="66">
        <f t="shared" si="270"/>
        <v>404647</v>
      </c>
      <c r="G652" s="66">
        <f>G653+G670</f>
        <v>423068</v>
      </c>
    </row>
    <row r="653" spans="1:7" outlineLevel="1" x14ac:dyDescent="0.25">
      <c r="A653" s="35" t="s">
        <v>105</v>
      </c>
      <c r="B653" s="30" t="s">
        <v>106</v>
      </c>
      <c r="C653" s="30"/>
      <c r="D653" s="3"/>
      <c r="E653" s="19">
        <f>E654</f>
        <v>382273.59999999992</v>
      </c>
      <c r="F653" s="19">
        <f t="shared" ref="F653:G668" si="271">F654</f>
        <v>312470.7</v>
      </c>
      <c r="G653" s="19">
        <f t="shared" si="271"/>
        <v>330195.3</v>
      </c>
    </row>
    <row r="654" spans="1:7" ht="31.5" outlineLevel="2" x14ac:dyDescent="0.25">
      <c r="A654" s="35" t="s">
        <v>153</v>
      </c>
      <c r="B654" s="30" t="s">
        <v>106</v>
      </c>
      <c r="C654" s="30" t="s">
        <v>96</v>
      </c>
      <c r="D654" s="30"/>
      <c r="E654" s="19">
        <f>E666+E655+E659</f>
        <v>382273.59999999992</v>
      </c>
      <c r="F654" s="19">
        <f t="shared" ref="F654:G654" si="272">F666+F655</f>
        <v>312470.7</v>
      </c>
      <c r="G654" s="19">
        <f t="shared" si="272"/>
        <v>330195.3</v>
      </c>
    </row>
    <row r="655" spans="1:7" outlineLevel="2" x14ac:dyDescent="0.25">
      <c r="A655" s="60" t="s">
        <v>228</v>
      </c>
      <c r="B655" s="18" t="s">
        <v>106</v>
      </c>
      <c r="C655" s="18" t="s">
        <v>549</v>
      </c>
      <c r="D655" s="18"/>
      <c r="E655" s="19">
        <f>E656</f>
        <v>8510.6</v>
      </c>
      <c r="F655" s="19">
        <f t="shared" ref="F655:G657" si="273">F656</f>
        <v>0</v>
      </c>
      <c r="G655" s="19">
        <f t="shared" si="273"/>
        <v>0</v>
      </c>
    </row>
    <row r="656" spans="1:7" ht="31.5" outlineLevel="2" x14ac:dyDescent="0.25">
      <c r="A656" s="60" t="s">
        <v>547</v>
      </c>
      <c r="B656" s="18" t="s">
        <v>106</v>
      </c>
      <c r="C656" s="18" t="s">
        <v>550</v>
      </c>
      <c r="D656" s="18"/>
      <c r="E656" s="19">
        <f t="shared" ref="E656:E657" si="274">E657</f>
        <v>8510.6</v>
      </c>
      <c r="F656" s="19">
        <f t="shared" si="273"/>
        <v>0</v>
      </c>
      <c r="G656" s="19">
        <f t="shared" si="273"/>
        <v>0</v>
      </c>
    </row>
    <row r="657" spans="1:7" ht="31.5" outlineLevel="2" x14ac:dyDescent="0.25">
      <c r="A657" s="60" t="s">
        <v>548</v>
      </c>
      <c r="B657" s="18" t="s">
        <v>106</v>
      </c>
      <c r="C657" s="18" t="s">
        <v>551</v>
      </c>
      <c r="D657" s="18"/>
      <c r="E657" s="19">
        <f t="shared" si="274"/>
        <v>8510.6</v>
      </c>
      <c r="F657" s="19">
        <f t="shared" si="273"/>
        <v>0</v>
      </c>
      <c r="G657" s="19">
        <f t="shared" si="273"/>
        <v>0</v>
      </c>
    </row>
    <row r="658" spans="1:7" ht="47.25" outlineLevel="2" x14ac:dyDescent="0.25">
      <c r="A658" s="20" t="s">
        <v>94</v>
      </c>
      <c r="B658" s="18" t="s">
        <v>106</v>
      </c>
      <c r="C658" s="18" t="s">
        <v>551</v>
      </c>
      <c r="D658" s="18" t="s">
        <v>95</v>
      </c>
      <c r="E658" s="19">
        <f>510.6+8000</f>
        <v>8510.6</v>
      </c>
      <c r="F658" s="19">
        <v>0</v>
      </c>
      <c r="G658" s="19">
        <v>0</v>
      </c>
    </row>
    <row r="659" spans="1:7" ht="31.5" outlineLevel="2" x14ac:dyDescent="0.25">
      <c r="A659" s="20" t="s">
        <v>155</v>
      </c>
      <c r="B659" s="18" t="s">
        <v>106</v>
      </c>
      <c r="C659" s="18" t="s">
        <v>97</v>
      </c>
      <c r="D659" s="18"/>
      <c r="E659" s="19">
        <f>E660</f>
        <v>3401.1</v>
      </c>
      <c r="F659" s="19">
        <f t="shared" ref="F659:G660" si="275">F660</f>
        <v>0</v>
      </c>
      <c r="G659" s="19">
        <f t="shared" si="275"/>
        <v>0</v>
      </c>
    </row>
    <row r="660" spans="1:7" ht="47.25" outlineLevel="2" x14ac:dyDescent="0.25">
      <c r="A660" s="33" t="s">
        <v>563</v>
      </c>
      <c r="B660" s="18" t="s">
        <v>106</v>
      </c>
      <c r="C660" s="18" t="s">
        <v>567</v>
      </c>
      <c r="D660" s="18"/>
      <c r="E660" s="19">
        <f>E661</f>
        <v>3401.1</v>
      </c>
      <c r="F660" s="19">
        <f t="shared" si="275"/>
        <v>0</v>
      </c>
      <c r="G660" s="19">
        <f t="shared" si="275"/>
        <v>0</v>
      </c>
    </row>
    <row r="661" spans="1:7" ht="47.25" outlineLevel="2" x14ac:dyDescent="0.25">
      <c r="A661" s="20" t="s">
        <v>564</v>
      </c>
      <c r="B661" s="18" t="s">
        <v>106</v>
      </c>
      <c r="C661" s="18" t="s">
        <v>568</v>
      </c>
      <c r="D661" s="18"/>
      <c r="E661" s="19">
        <f>E662+E664</f>
        <v>3401.1</v>
      </c>
      <c r="F661" s="19">
        <f t="shared" ref="F661:G661" si="276">F662+F664</f>
        <v>0</v>
      </c>
      <c r="G661" s="19">
        <f t="shared" si="276"/>
        <v>0</v>
      </c>
    </row>
    <row r="662" spans="1:7" ht="94.5" outlineLevel="2" x14ac:dyDescent="0.25">
      <c r="A662" s="20" t="s">
        <v>565</v>
      </c>
      <c r="B662" s="18" t="s">
        <v>106</v>
      </c>
      <c r="C662" s="18" t="s">
        <v>569</v>
      </c>
      <c r="D662" s="18"/>
      <c r="E662" s="19">
        <f>E663</f>
        <v>1048</v>
      </c>
      <c r="F662" s="19">
        <f t="shared" ref="F662:G662" si="277">F663</f>
        <v>0</v>
      </c>
      <c r="G662" s="19">
        <f t="shared" si="277"/>
        <v>0</v>
      </c>
    </row>
    <row r="663" spans="1:7" ht="47.25" outlineLevel="2" x14ac:dyDescent="0.25">
      <c r="A663" s="20" t="s">
        <v>94</v>
      </c>
      <c r="B663" s="18" t="s">
        <v>106</v>
      </c>
      <c r="C663" s="18" t="s">
        <v>569</v>
      </c>
      <c r="D663" s="18" t="s">
        <v>95</v>
      </c>
      <c r="E663" s="19">
        <f>72.7+975.3</f>
        <v>1048</v>
      </c>
      <c r="F663" s="19">
        <v>0</v>
      </c>
      <c r="G663" s="19">
        <v>0</v>
      </c>
    </row>
    <row r="664" spans="1:7" ht="78.75" outlineLevel="2" x14ac:dyDescent="0.25">
      <c r="A664" s="20" t="s">
        <v>566</v>
      </c>
      <c r="B664" s="18" t="s">
        <v>106</v>
      </c>
      <c r="C664" s="18" t="s">
        <v>570</v>
      </c>
      <c r="D664" s="18"/>
      <c r="E664" s="19">
        <f>E665</f>
        <v>2353.1</v>
      </c>
      <c r="F664" s="19">
        <f t="shared" ref="F664:G664" si="278">F665</f>
        <v>0</v>
      </c>
      <c r="G664" s="19">
        <f t="shared" si="278"/>
        <v>0</v>
      </c>
    </row>
    <row r="665" spans="1:7" ht="47.25" outlineLevel="2" x14ac:dyDescent="0.25">
      <c r="A665" s="20" t="s">
        <v>94</v>
      </c>
      <c r="B665" s="18" t="s">
        <v>106</v>
      </c>
      <c r="C665" s="18" t="s">
        <v>570</v>
      </c>
      <c r="D665" s="18" t="s">
        <v>95</v>
      </c>
      <c r="E665" s="19">
        <f>353.1+2000</f>
        <v>2353.1</v>
      </c>
      <c r="F665" s="19">
        <v>0</v>
      </c>
      <c r="G665" s="19">
        <v>0</v>
      </c>
    </row>
    <row r="666" spans="1:7" outlineLevel="2" x14ac:dyDescent="0.25">
      <c r="A666" s="35" t="s">
        <v>144</v>
      </c>
      <c r="B666" s="30" t="s">
        <v>106</v>
      </c>
      <c r="C666" s="30" t="s">
        <v>107</v>
      </c>
      <c r="D666" s="30"/>
      <c r="E666" s="19">
        <f>E667</f>
        <v>370361.89999999997</v>
      </c>
      <c r="F666" s="19">
        <f>F667</f>
        <v>312470.7</v>
      </c>
      <c r="G666" s="19">
        <f>G667</f>
        <v>330195.3</v>
      </c>
    </row>
    <row r="667" spans="1:7" ht="78.75" outlineLevel="2" x14ac:dyDescent="0.25">
      <c r="A667" s="35" t="s">
        <v>154</v>
      </c>
      <c r="B667" s="30" t="s">
        <v>106</v>
      </c>
      <c r="C667" s="30" t="s">
        <v>108</v>
      </c>
      <c r="D667" s="3"/>
      <c r="E667" s="19">
        <f>E668</f>
        <v>370361.89999999997</v>
      </c>
      <c r="F667" s="19">
        <f t="shared" si="271"/>
        <v>312470.7</v>
      </c>
      <c r="G667" s="19">
        <f t="shared" si="271"/>
        <v>330195.3</v>
      </c>
    </row>
    <row r="668" spans="1:7" ht="47.25" outlineLevel="2" x14ac:dyDescent="0.25">
      <c r="A668" s="35" t="s">
        <v>151</v>
      </c>
      <c r="B668" s="30" t="s">
        <v>106</v>
      </c>
      <c r="C668" s="30" t="s">
        <v>109</v>
      </c>
      <c r="D668" s="30"/>
      <c r="E668" s="19">
        <f>E669</f>
        <v>370361.89999999997</v>
      </c>
      <c r="F668" s="19">
        <f t="shared" si="271"/>
        <v>312470.7</v>
      </c>
      <c r="G668" s="19">
        <f t="shared" si="271"/>
        <v>330195.3</v>
      </c>
    </row>
    <row r="669" spans="1:7" ht="47.25" outlineLevel="2" x14ac:dyDescent="0.25">
      <c r="A669" s="35" t="s">
        <v>94</v>
      </c>
      <c r="B669" s="30" t="s">
        <v>106</v>
      </c>
      <c r="C669" s="30" t="s">
        <v>109</v>
      </c>
      <c r="D669" s="30" t="s">
        <v>95</v>
      </c>
      <c r="E669" s="19">
        <f>106170+121093.6+74467.9+15250+4625.6-491.8+18992.2+24073.6+312.3+500-9130.2+14498.7</f>
        <v>370361.89999999997</v>
      </c>
      <c r="F669" s="19">
        <f>312946.9-476.2</f>
        <v>312470.7</v>
      </c>
      <c r="G669" s="19">
        <f>330680.5-485.2</f>
        <v>330195.3</v>
      </c>
    </row>
    <row r="670" spans="1:7" ht="31.5" outlineLevel="1" x14ac:dyDescent="0.25">
      <c r="A670" s="35" t="s">
        <v>110</v>
      </c>
      <c r="B670" s="30" t="s">
        <v>111</v>
      </c>
      <c r="C670" s="30"/>
      <c r="D670" s="30"/>
      <c r="E670" s="19">
        <f>E671</f>
        <v>92046.000000000015</v>
      </c>
      <c r="F670" s="19">
        <f t="shared" ref="F670:G670" si="279">F671</f>
        <v>92176.3</v>
      </c>
      <c r="G670" s="19">
        <f t="shared" si="279"/>
        <v>92872.699999999983</v>
      </c>
    </row>
    <row r="671" spans="1:7" ht="31.5" outlineLevel="2" x14ac:dyDescent="0.25">
      <c r="A671" s="35" t="s">
        <v>153</v>
      </c>
      <c r="B671" s="30" t="s">
        <v>111</v>
      </c>
      <c r="C671" s="30" t="s">
        <v>96</v>
      </c>
      <c r="D671" s="30"/>
      <c r="E671" s="19">
        <f>E672+E676</f>
        <v>92046.000000000015</v>
      </c>
      <c r="F671" s="19">
        <f t="shared" ref="F671:G671" si="280">F672+F676</f>
        <v>92176.3</v>
      </c>
      <c r="G671" s="19">
        <f t="shared" si="280"/>
        <v>92872.699999999983</v>
      </c>
    </row>
    <row r="672" spans="1:7" ht="31.5" outlineLevel="2" x14ac:dyDescent="0.25">
      <c r="A672" s="35" t="s">
        <v>155</v>
      </c>
      <c r="B672" s="30" t="s">
        <v>111</v>
      </c>
      <c r="C672" s="30" t="s">
        <v>97</v>
      </c>
      <c r="D672" s="30"/>
      <c r="E672" s="19">
        <f>E673</f>
        <v>1576</v>
      </c>
      <c r="F672" s="19">
        <f t="shared" ref="F672:G672" si="281">F673</f>
        <v>1414.4</v>
      </c>
      <c r="G672" s="19">
        <f t="shared" si="281"/>
        <v>1414.4</v>
      </c>
    </row>
    <row r="673" spans="1:7" ht="47.25" outlineLevel="2" x14ac:dyDescent="0.25">
      <c r="A673" s="35" t="s">
        <v>156</v>
      </c>
      <c r="B673" s="30" t="s">
        <v>111</v>
      </c>
      <c r="C673" s="30" t="s">
        <v>98</v>
      </c>
      <c r="D673" s="30"/>
      <c r="E673" s="19">
        <f>E674</f>
        <v>1576</v>
      </c>
      <c r="F673" s="19">
        <f>F674</f>
        <v>1414.4</v>
      </c>
      <c r="G673" s="19">
        <f>G674</f>
        <v>1414.4</v>
      </c>
    </row>
    <row r="674" spans="1:7" ht="126" outlineLevel="2" x14ac:dyDescent="0.25">
      <c r="A674" s="35" t="s">
        <v>157</v>
      </c>
      <c r="B674" s="30" t="s">
        <v>111</v>
      </c>
      <c r="C674" s="30" t="s">
        <v>158</v>
      </c>
      <c r="D674" s="30"/>
      <c r="E674" s="19">
        <f>E675</f>
        <v>1576</v>
      </c>
      <c r="F674" s="19">
        <f>F675</f>
        <v>1414.4</v>
      </c>
      <c r="G674" s="19">
        <f>G675</f>
        <v>1414.4</v>
      </c>
    </row>
    <row r="675" spans="1:7" ht="47.25" outlineLevel="2" x14ac:dyDescent="0.25">
      <c r="A675" s="35" t="s">
        <v>94</v>
      </c>
      <c r="B675" s="30" t="s">
        <v>111</v>
      </c>
      <c r="C675" s="30" t="s">
        <v>158</v>
      </c>
      <c r="D675" s="30">
        <v>600</v>
      </c>
      <c r="E675" s="19">
        <f>1414.4+161.6</f>
        <v>1576</v>
      </c>
      <c r="F675" s="19">
        <v>1414.4</v>
      </c>
      <c r="G675" s="19">
        <v>1414.4</v>
      </c>
    </row>
    <row r="676" spans="1:7" outlineLevel="2" x14ac:dyDescent="0.25">
      <c r="A676" s="35" t="s">
        <v>144</v>
      </c>
      <c r="B676" s="30" t="s">
        <v>111</v>
      </c>
      <c r="C676" s="30" t="s">
        <v>107</v>
      </c>
      <c r="D676" s="30"/>
      <c r="E676" s="19">
        <f>E677+E683+E688</f>
        <v>90470.000000000015</v>
      </c>
      <c r="F676" s="19">
        <f t="shared" ref="F676:G676" si="282">F677+F683+F688</f>
        <v>90761.900000000009</v>
      </c>
      <c r="G676" s="19">
        <f t="shared" si="282"/>
        <v>91458.299999999988</v>
      </c>
    </row>
    <row r="677" spans="1:7" ht="78.75" outlineLevel="2" x14ac:dyDescent="0.25">
      <c r="A677" s="35" t="s">
        <v>154</v>
      </c>
      <c r="B677" s="30" t="s">
        <v>111</v>
      </c>
      <c r="C677" s="30" t="s">
        <v>108</v>
      </c>
      <c r="D677" s="30"/>
      <c r="E677" s="19">
        <f>E678+E681</f>
        <v>88593.900000000009</v>
      </c>
      <c r="F677" s="19">
        <f t="shared" ref="F677:G677" si="283">F678+F681</f>
        <v>89077.900000000009</v>
      </c>
      <c r="G677" s="19">
        <f t="shared" si="283"/>
        <v>89774.299999999988</v>
      </c>
    </row>
    <row r="678" spans="1:7" ht="47.25" outlineLevel="2" x14ac:dyDescent="0.25">
      <c r="A678" s="35" t="s">
        <v>159</v>
      </c>
      <c r="B678" s="30" t="s">
        <v>111</v>
      </c>
      <c r="C678" s="30" t="s">
        <v>160</v>
      </c>
      <c r="D678" s="30"/>
      <c r="E678" s="19">
        <f>E679+E680</f>
        <v>14338.3</v>
      </c>
      <c r="F678" s="19">
        <f t="shared" ref="F678:G678" si="284">F679+F680</f>
        <v>14142.3</v>
      </c>
      <c r="G678" s="19">
        <f t="shared" si="284"/>
        <v>14131.4</v>
      </c>
    </row>
    <row r="679" spans="1:7" ht="84.75" customHeight="1" outlineLevel="2" x14ac:dyDescent="0.25">
      <c r="A679" s="35" t="s">
        <v>75</v>
      </c>
      <c r="B679" s="30" t="s">
        <v>111</v>
      </c>
      <c r="C679" s="30" t="s">
        <v>160</v>
      </c>
      <c r="D679" s="30" t="s">
        <v>38</v>
      </c>
      <c r="E679" s="19">
        <f>13183.3+636</f>
        <v>13819.3</v>
      </c>
      <c r="F679" s="19">
        <v>13623.3</v>
      </c>
      <c r="G679" s="19">
        <v>13623.3</v>
      </c>
    </row>
    <row r="680" spans="1:7" ht="32.25" customHeight="1" outlineLevel="2" x14ac:dyDescent="0.25">
      <c r="A680" s="35" t="s">
        <v>76</v>
      </c>
      <c r="B680" s="30" t="s">
        <v>111</v>
      </c>
      <c r="C680" s="30" t="s">
        <v>160</v>
      </c>
      <c r="D680" s="30" t="s">
        <v>39</v>
      </c>
      <c r="E680" s="19">
        <v>519</v>
      </c>
      <c r="F680" s="19">
        <v>519</v>
      </c>
      <c r="G680" s="19">
        <v>508.1</v>
      </c>
    </row>
    <row r="681" spans="1:7" ht="33.75" customHeight="1" outlineLevel="2" x14ac:dyDescent="0.25">
      <c r="A681" s="35" t="s">
        <v>151</v>
      </c>
      <c r="B681" s="30" t="s">
        <v>111</v>
      </c>
      <c r="C681" s="30" t="s">
        <v>109</v>
      </c>
      <c r="D681" s="30"/>
      <c r="E681" s="19">
        <f>E682</f>
        <v>74255.600000000006</v>
      </c>
      <c r="F681" s="19">
        <f>F682</f>
        <v>74935.600000000006</v>
      </c>
      <c r="G681" s="19">
        <f>G682</f>
        <v>75642.899999999994</v>
      </c>
    </row>
    <row r="682" spans="1:7" ht="47.25" outlineLevel="2" x14ac:dyDescent="0.25">
      <c r="A682" s="35" t="s">
        <v>94</v>
      </c>
      <c r="B682" s="30" t="s">
        <v>111</v>
      </c>
      <c r="C682" s="30" t="s">
        <v>109</v>
      </c>
      <c r="D682" s="30" t="s">
        <v>95</v>
      </c>
      <c r="E682" s="19">
        <v>74255.600000000006</v>
      </c>
      <c r="F682" s="19">
        <v>74935.600000000006</v>
      </c>
      <c r="G682" s="19">
        <v>75642.899999999994</v>
      </c>
    </row>
    <row r="683" spans="1:7" ht="47.25" outlineLevel="2" x14ac:dyDescent="0.25">
      <c r="A683" s="35" t="s">
        <v>505</v>
      </c>
      <c r="B683" s="30" t="s">
        <v>111</v>
      </c>
      <c r="C683" s="30" t="s">
        <v>161</v>
      </c>
      <c r="D683" s="30"/>
      <c r="E683" s="19">
        <f>E684+E686</f>
        <v>1169</v>
      </c>
      <c r="F683" s="19">
        <f t="shared" ref="F683:G683" si="285">F684+F686</f>
        <v>1169</v>
      </c>
      <c r="G683" s="19">
        <f t="shared" si="285"/>
        <v>1169</v>
      </c>
    </row>
    <row r="684" spans="1:7" ht="31.5" outlineLevel="2" x14ac:dyDescent="0.25">
      <c r="A684" s="35" t="s">
        <v>162</v>
      </c>
      <c r="B684" s="30" t="s">
        <v>111</v>
      </c>
      <c r="C684" s="30" t="s">
        <v>163</v>
      </c>
      <c r="D684" s="30"/>
      <c r="E684" s="19">
        <f>E685</f>
        <v>0</v>
      </c>
      <c r="F684" s="19">
        <f t="shared" ref="F684:G684" si="286">F685</f>
        <v>565.79999999999995</v>
      </c>
      <c r="G684" s="19">
        <f t="shared" si="286"/>
        <v>565.79999999999995</v>
      </c>
    </row>
    <row r="685" spans="1:7" ht="31.5" outlineLevel="2" x14ac:dyDescent="0.25">
      <c r="A685" s="35" t="s">
        <v>76</v>
      </c>
      <c r="B685" s="30" t="s">
        <v>111</v>
      </c>
      <c r="C685" s="30" t="s">
        <v>163</v>
      </c>
      <c r="D685" s="30" t="s">
        <v>39</v>
      </c>
      <c r="E685" s="19">
        <f>380.8-380.8</f>
        <v>0</v>
      </c>
      <c r="F685" s="19">
        <v>565.79999999999995</v>
      </c>
      <c r="G685" s="19">
        <v>565.79999999999995</v>
      </c>
    </row>
    <row r="686" spans="1:7" ht="47.25" outlineLevel="2" x14ac:dyDescent="0.25">
      <c r="A686" s="35" t="s">
        <v>164</v>
      </c>
      <c r="B686" s="30" t="s">
        <v>111</v>
      </c>
      <c r="C686" s="30" t="s">
        <v>165</v>
      </c>
      <c r="D686" s="30"/>
      <c r="E686" s="19">
        <f>E687</f>
        <v>1169</v>
      </c>
      <c r="F686" s="19">
        <f t="shared" ref="F686:G686" si="287">F687</f>
        <v>603.20000000000005</v>
      </c>
      <c r="G686" s="19">
        <f t="shared" si="287"/>
        <v>603.20000000000005</v>
      </c>
    </row>
    <row r="687" spans="1:7" ht="47.25" outlineLevel="2" x14ac:dyDescent="0.25">
      <c r="A687" s="35" t="s">
        <v>94</v>
      </c>
      <c r="B687" s="30" t="s">
        <v>111</v>
      </c>
      <c r="C687" s="30" t="s">
        <v>165</v>
      </c>
      <c r="D687" s="30">
        <v>600</v>
      </c>
      <c r="E687" s="19">
        <f>788.2+380.8</f>
        <v>1169</v>
      </c>
      <c r="F687" s="19">
        <v>603.20000000000005</v>
      </c>
      <c r="G687" s="19">
        <v>603.20000000000005</v>
      </c>
    </row>
    <row r="688" spans="1:7" ht="47.25" outlineLevel="2" x14ac:dyDescent="0.25">
      <c r="A688" s="35" t="s">
        <v>166</v>
      </c>
      <c r="B688" s="30" t="s">
        <v>111</v>
      </c>
      <c r="C688" s="30" t="s">
        <v>167</v>
      </c>
      <c r="D688" s="59"/>
      <c r="E688" s="19">
        <f>E689+E691</f>
        <v>707.1</v>
      </c>
      <c r="F688" s="19">
        <f t="shared" ref="F688:G688" si="288">F689+F691</f>
        <v>515</v>
      </c>
      <c r="G688" s="19">
        <f t="shared" si="288"/>
        <v>515</v>
      </c>
    </row>
    <row r="689" spans="1:7" ht="49.5" customHeight="1" outlineLevel="2" x14ac:dyDescent="0.25">
      <c r="A689" s="67" t="s">
        <v>168</v>
      </c>
      <c r="B689" s="30" t="s">
        <v>111</v>
      </c>
      <c r="C689" s="30" t="s">
        <v>506</v>
      </c>
      <c r="D689" s="30"/>
      <c r="E689" s="19">
        <f>E690</f>
        <v>408.1</v>
      </c>
      <c r="F689" s="19">
        <f>F690</f>
        <v>216</v>
      </c>
      <c r="G689" s="19">
        <f>G690</f>
        <v>216</v>
      </c>
    </row>
    <row r="690" spans="1:7" ht="31.5" outlineLevel="2" x14ac:dyDescent="0.25">
      <c r="A690" s="67" t="s">
        <v>20</v>
      </c>
      <c r="B690" s="30" t="s">
        <v>111</v>
      </c>
      <c r="C690" s="30" t="s">
        <v>506</v>
      </c>
      <c r="D690" s="30">
        <v>300</v>
      </c>
      <c r="E690" s="19">
        <f>216+192.1</f>
        <v>408.1</v>
      </c>
      <c r="F690" s="19">
        <v>216</v>
      </c>
      <c r="G690" s="19">
        <v>216</v>
      </c>
    </row>
    <row r="691" spans="1:7" ht="47.25" outlineLevel="2" x14ac:dyDescent="0.25">
      <c r="A691" s="35" t="s">
        <v>169</v>
      </c>
      <c r="B691" s="30" t="s">
        <v>111</v>
      </c>
      <c r="C691" s="30" t="s">
        <v>170</v>
      </c>
      <c r="D691" s="30"/>
      <c r="E691" s="19">
        <f>E692</f>
        <v>299</v>
      </c>
      <c r="F691" s="19">
        <f>F692</f>
        <v>299</v>
      </c>
      <c r="G691" s="19">
        <f>G692</f>
        <v>299</v>
      </c>
    </row>
    <row r="692" spans="1:7" ht="25.5" customHeight="1" outlineLevel="2" x14ac:dyDescent="0.25">
      <c r="A692" s="67" t="s">
        <v>20</v>
      </c>
      <c r="B692" s="30" t="s">
        <v>111</v>
      </c>
      <c r="C692" s="30" t="s">
        <v>171</v>
      </c>
      <c r="D692" s="30">
        <v>300</v>
      </c>
      <c r="E692" s="19">
        <v>299</v>
      </c>
      <c r="F692" s="19">
        <v>299</v>
      </c>
      <c r="G692" s="19">
        <v>299</v>
      </c>
    </row>
    <row r="693" spans="1:7" x14ac:dyDescent="0.25">
      <c r="A693" s="68" t="s">
        <v>119</v>
      </c>
      <c r="B693" s="14" t="s">
        <v>120</v>
      </c>
      <c r="C693" s="14"/>
      <c r="D693" s="15"/>
      <c r="E693" s="32">
        <f>E694+E698+E713</f>
        <v>403321.09999999992</v>
      </c>
      <c r="F693" s="32">
        <f>F694+F698+F713</f>
        <v>372779.7</v>
      </c>
      <c r="G693" s="32">
        <f>G694+G698+G713</f>
        <v>387789.7</v>
      </c>
    </row>
    <row r="694" spans="1:7" outlineLevel="1" x14ac:dyDescent="0.25">
      <c r="A694" s="17" t="s">
        <v>121</v>
      </c>
      <c r="B694" s="18" t="s">
        <v>122</v>
      </c>
      <c r="C694" s="18"/>
      <c r="D694" s="9"/>
      <c r="E694" s="19">
        <f>E695</f>
        <v>11788.2</v>
      </c>
      <c r="F694" s="19">
        <f t="shared" ref="F694:G696" si="289">F695</f>
        <v>12159.6</v>
      </c>
      <c r="G694" s="19">
        <f t="shared" si="289"/>
        <v>12159.6</v>
      </c>
    </row>
    <row r="695" spans="1:7" outlineLevel="2" x14ac:dyDescent="0.25">
      <c r="A695" s="17" t="s">
        <v>9</v>
      </c>
      <c r="B695" s="18" t="s">
        <v>122</v>
      </c>
      <c r="C695" s="18" t="s">
        <v>10</v>
      </c>
      <c r="D695" s="9"/>
      <c r="E695" s="19">
        <f>E696</f>
        <v>11788.2</v>
      </c>
      <c r="F695" s="19">
        <f t="shared" si="289"/>
        <v>12159.6</v>
      </c>
      <c r="G695" s="19">
        <f t="shared" si="289"/>
        <v>12159.6</v>
      </c>
    </row>
    <row r="696" spans="1:7" outlineLevel="2" x14ac:dyDescent="0.25">
      <c r="A696" s="17" t="s">
        <v>123</v>
      </c>
      <c r="B696" s="18" t="s">
        <v>122</v>
      </c>
      <c r="C696" s="18" t="s">
        <v>124</v>
      </c>
      <c r="D696" s="9"/>
      <c r="E696" s="19">
        <f>E697</f>
        <v>11788.2</v>
      </c>
      <c r="F696" s="19">
        <f t="shared" si="289"/>
        <v>12159.6</v>
      </c>
      <c r="G696" s="19">
        <f t="shared" si="289"/>
        <v>12159.6</v>
      </c>
    </row>
    <row r="697" spans="1:7" ht="31.5" outlineLevel="2" x14ac:dyDescent="0.25">
      <c r="A697" s="17" t="s">
        <v>20</v>
      </c>
      <c r="B697" s="18" t="s">
        <v>122</v>
      </c>
      <c r="C697" s="18" t="s">
        <v>124</v>
      </c>
      <c r="D697" s="9">
        <v>300</v>
      </c>
      <c r="E697" s="19">
        <v>11788.2</v>
      </c>
      <c r="F697" s="19">
        <v>12159.6</v>
      </c>
      <c r="G697" s="19">
        <v>12159.6</v>
      </c>
    </row>
    <row r="698" spans="1:7" outlineLevel="1" x14ac:dyDescent="0.25">
      <c r="A698" s="17" t="s">
        <v>125</v>
      </c>
      <c r="B698" s="18" t="s">
        <v>126</v>
      </c>
      <c r="C698" s="18"/>
      <c r="D698" s="9"/>
      <c r="E698" s="19">
        <f>E699+E704</f>
        <v>38298.1</v>
      </c>
      <c r="F698" s="19">
        <f>F699+F704</f>
        <v>16159.2</v>
      </c>
      <c r="G698" s="19">
        <f>G699+G704</f>
        <v>17055.900000000001</v>
      </c>
    </row>
    <row r="699" spans="1:7" outlineLevel="2" x14ac:dyDescent="0.25">
      <c r="A699" s="17" t="s">
        <v>9</v>
      </c>
      <c r="B699" s="18" t="s">
        <v>126</v>
      </c>
      <c r="C699" s="18" t="s">
        <v>10</v>
      </c>
      <c r="D699" s="9"/>
      <c r="E699" s="19">
        <f>E700+E702</f>
        <v>5150.1000000000004</v>
      </c>
      <c r="F699" s="19">
        <f t="shared" ref="F699:G699" si="290">F700+F702</f>
        <v>5532.5</v>
      </c>
      <c r="G699" s="19">
        <f t="shared" si="290"/>
        <v>6087.4</v>
      </c>
    </row>
    <row r="700" spans="1:7" ht="31.5" outlineLevel="2" x14ac:dyDescent="0.25">
      <c r="A700" s="17" t="s">
        <v>127</v>
      </c>
      <c r="B700" s="18" t="s">
        <v>126</v>
      </c>
      <c r="C700" s="18" t="s">
        <v>128</v>
      </c>
      <c r="D700" s="9"/>
      <c r="E700" s="19">
        <f>E701</f>
        <v>2684.5</v>
      </c>
      <c r="F700" s="19">
        <f t="shared" ref="F700:G700" si="291">F701</f>
        <v>2894.5</v>
      </c>
      <c r="G700" s="19">
        <f t="shared" si="291"/>
        <v>3104.5</v>
      </c>
    </row>
    <row r="701" spans="1:7" ht="31.5" outlineLevel="2" x14ac:dyDescent="0.25">
      <c r="A701" s="17" t="s">
        <v>20</v>
      </c>
      <c r="B701" s="18" t="s">
        <v>126</v>
      </c>
      <c r="C701" s="18" t="s">
        <v>128</v>
      </c>
      <c r="D701" s="9">
        <v>300</v>
      </c>
      <c r="E701" s="19">
        <v>2684.5</v>
      </c>
      <c r="F701" s="19">
        <v>2894.5</v>
      </c>
      <c r="G701" s="19">
        <v>3104.5</v>
      </c>
    </row>
    <row r="702" spans="1:7" ht="47.25" outlineLevel="2" x14ac:dyDescent="0.25">
      <c r="A702" s="17" t="s">
        <v>129</v>
      </c>
      <c r="B702" s="18" t="s">
        <v>126</v>
      </c>
      <c r="C702" s="18" t="s">
        <v>130</v>
      </c>
      <c r="D702" s="9"/>
      <c r="E702" s="19">
        <f>E703</f>
        <v>2465.6</v>
      </c>
      <c r="F702" s="19">
        <f t="shared" ref="F702:G702" si="292">F703</f>
        <v>2638</v>
      </c>
      <c r="G702" s="19">
        <f t="shared" si="292"/>
        <v>2982.9</v>
      </c>
    </row>
    <row r="703" spans="1:7" ht="31.5" outlineLevel="2" x14ac:dyDescent="0.25">
      <c r="A703" s="17" t="s">
        <v>20</v>
      </c>
      <c r="B703" s="18" t="s">
        <v>126</v>
      </c>
      <c r="C703" s="18" t="s">
        <v>130</v>
      </c>
      <c r="D703" s="9">
        <v>300</v>
      </c>
      <c r="E703" s="19">
        <f>1948.3+517.3</f>
        <v>2465.6</v>
      </c>
      <c r="F703" s="19">
        <v>2638</v>
      </c>
      <c r="G703" s="19">
        <v>2982.9</v>
      </c>
    </row>
    <row r="704" spans="1:7" ht="47.25" outlineLevel="2" x14ac:dyDescent="0.25">
      <c r="A704" s="29" t="s">
        <v>59</v>
      </c>
      <c r="B704" s="23" t="s">
        <v>126</v>
      </c>
      <c r="C704" s="23" t="s">
        <v>60</v>
      </c>
      <c r="D704" s="24"/>
      <c r="E704" s="19">
        <f>E705</f>
        <v>33148</v>
      </c>
      <c r="F704" s="19">
        <f t="shared" ref="F704:G705" si="293">F705</f>
        <v>10626.7</v>
      </c>
      <c r="G704" s="19">
        <f t="shared" si="293"/>
        <v>10968.500000000002</v>
      </c>
    </row>
    <row r="705" spans="1:7" ht="17.25" customHeight="1" outlineLevel="2" x14ac:dyDescent="0.25">
      <c r="A705" s="33" t="s">
        <v>155</v>
      </c>
      <c r="B705" s="30" t="s">
        <v>126</v>
      </c>
      <c r="C705" s="30" t="s">
        <v>452</v>
      </c>
      <c r="D705" s="24"/>
      <c r="E705" s="19">
        <f>E706</f>
        <v>33148</v>
      </c>
      <c r="F705" s="19">
        <f t="shared" si="293"/>
        <v>10626.7</v>
      </c>
      <c r="G705" s="19">
        <f t="shared" si="293"/>
        <v>10968.500000000002</v>
      </c>
    </row>
    <row r="706" spans="1:7" ht="47.25" outlineLevel="2" x14ac:dyDescent="0.25">
      <c r="A706" s="29" t="s">
        <v>499</v>
      </c>
      <c r="B706" s="23" t="s">
        <v>126</v>
      </c>
      <c r="C706" s="23" t="s">
        <v>453</v>
      </c>
      <c r="D706" s="24"/>
      <c r="E706" s="19">
        <f>E707+E709+E711</f>
        <v>33148</v>
      </c>
      <c r="F706" s="19">
        <f t="shared" ref="F706:G706" si="294">F707+F709+F711</f>
        <v>10626.7</v>
      </c>
      <c r="G706" s="19">
        <f t="shared" si="294"/>
        <v>10968.500000000002</v>
      </c>
    </row>
    <row r="707" spans="1:7" ht="78.75" outlineLevel="2" x14ac:dyDescent="0.25">
      <c r="A707" s="29" t="s">
        <v>454</v>
      </c>
      <c r="B707" s="23" t="s">
        <v>455</v>
      </c>
      <c r="C707" s="23" t="s">
        <v>456</v>
      </c>
      <c r="D707" s="24"/>
      <c r="E707" s="19">
        <f>E708</f>
        <v>1675.6</v>
      </c>
      <c r="F707" s="19">
        <f t="shared" ref="F707:G707" si="295">F708</f>
        <v>335.1</v>
      </c>
      <c r="G707" s="19">
        <f t="shared" si="295"/>
        <v>335.1</v>
      </c>
    </row>
    <row r="708" spans="1:7" ht="31.5" outlineLevel="2" x14ac:dyDescent="0.25">
      <c r="A708" s="29" t="s">
        <v>20</v>
      </c>
      <c r="B708" s="23" t="s">
        <v>455</v>
      </c>
      <c r="C708" s="23" t="s">
        <v>456</v>
      </c>
      <c r="D708" s="24">
        <v>300</v>
      </c>
      <c r="E708" s="19">
        <v>1675.6</v>
      </c>
      <c r="F708" s="19">
        <v>335.1</v>
      </c>
      <c r="G708" s="19">
        <v>335.1</v>
      </c>
    </row>
    <row r="709" spans="1:7" ht="31.5" outlineLevel="2" x14ac:dyDescent="0.25">
      <c r="A709" s="29" t="s">
        <v>457</v>
      </c>
      <c r="B709" s="23" t="s">
        <v>126</v>
      </c>
      <c r="C709" s="23" t="s">
        <v>458</v>
      </c>
      <c r="D709" s="24"/>
      <c r="E709" s="19">
        <f>E710</f>
        <v>5972.4</v>
      </c>
      <c r="F709" s="19">
        <f>F710</f>
        <v>8956.6</v>
      </c>
      <c r="G709" s="19">
        <f>G710</f>
        <v>9320.2000000000007</v>
      </c>
    </row>
    <row r="710" spans="1:7" ht="31.5" outlineLevel="2" x14ac:dyDescent="0.25">
      <c r="A710" s="20" t="s">
        <v>20</v>
      </c>
      <c r="B710" s="23" t="s">
        <v>126</v>
      </c>
      <c r="C710" s="23" t="s">
        <v>458</v>
      </c>
      <c r="D710" s="24">
        <v>300</v>
      </c>
      <c r="E710" s="19">
        <f>5677.2+17.7+277.5</f>
        <v>5972.4</v>
      </c>
      <c r="F710" s="19">
        <f>5707+3054.6+195</f>
        <v>8956.6</v>
      </c>
      <c r="G710" s="19">
        <f>5707+216.8+3396.4</f>
        <v>9320.2000000000007</v>
      </c>
    </row>
    <row r="711" spans="1:7" ht="110.25" outlineLevel="2" x14ac:dyDescent="0.25">
      <c r="A711" s="2" t="s">
        <v>459</v>
      </c>
      <c r="B711" s="23" t="s">
        <v>126</v>
      </c>
      <c r="C711" s="3" t="s">
        <v>460</v>
      </c>
      <c r="D711" s="24"/>
      <c r="E711" s="19">
        <f>E712</f>
        <v>25500</v>
      </c>
      <c r="F711" s="19">
        <f>F712</f>
        <v>1335</v>
      </c>
      <c r="G711" s="19">
        <f>G712</f>
        <v>1313.2</v>
      </c>
    </row>
    <row r="712" spans="1:7" ht="31.5" outlineLevel="2" x14ac:dyDescent="0.25">
      <c r="A712" s="20" t="s">
        <v>20</v>
      </c>
      <c r="B712" s="23" t="s">
        <v>126</v>
      </c>
      <c r="C712" s="3" t="s">
        <v>460</v>
      </c>
      <c r="D712" s="24">
        <v>300</v>
      </c>
      <c r="E712" s="19">
        <v>25500</v>
      </c>
      <c r="F712" s="19">
        <f>25500-195-23970</f>
        <v>1335</v>
      </c>
      <c r="G712" s="19">
        <f>25500-23970-216.8</f>
        <v>1313.2</v>
      </c>
    </row>
    <row r="713" spans="1:7" outlineLevel="1" x14ac:dyDescent="0.25">
      <c r="A713" s="20" t="s">
        <v>136</v>
      </c>
      <c r="B713" s="18" t="s">
        <v>137</v>
      </c>
      <c r="C713" s="18"/>
      <c r="D713" s="18"/>
      <c r="E713" s="19">
        <f>E727+E714</f>
        <v>353234.79999999993</v>
      </c>
      <c r="F713" s="19">
        <f t="shared" ref="F713:G713" si="296">F727+F714</f>
        <v>344460.9</v>
      </c>
      <c r="G713" s="19">
        <f t="shared" si="296"/>
        <v>358574.2</v>
      </c>
    </row>
    <row r="714" spans="1:7" ht="47.25" outlineLevel="2" x14ac:dyDescent="0.25">
      <c r="A714" s="40" t="s">
        <v>59</v>
      </c>
      <c r="B714" s="23" t="s">
        <v>137</v>
      </c>
      <c r="C714" s="23" t="s">
        <v>60</v>
      </c>
      <c r="D714" s="3"/>
      <c r="E714" s="19">
        <f>E721+E715</f>
        <v>110201.89999999998</v>
      </c>
      <c r="F714" s="19">
        <f t="shared" ref="F714:G714" si="297">F721+F715</f>
        <v>99956.6</v>
      </c>
      <c r="G714" s="19">
        <f t="shared" si="297"/>
        <v>112539.1</v>
      </c>
    </row>
    <row r="715" spans="1:7" ht="19.5" customHeight="1" outlineLevel="2" x14ac:dyDescent="0.25">
      <c r="A715" s="33" t="s">
        <v>155</v>
      </c>
      <c r="B715" s="30" t="s">
        <v>137</v>
      </c>
      <c r="C715" s="30" t="s">
        <v>452</v>
      </c>
      <c r="D715" s="23"/>
      <c r="E715" s="19">
        <f>E716</f>
        <v>108345.99999999999</v>
      </c>
      <c r="F715" s="19">
        <f t="shared" ref="F715:G719" si="298">F716</f>
        <v>98162.200000000012</v>
      </c>
      <c r="G715" s="19">
        <f t="shared" si="298"/>
        <v>110669.3</v>
      </c>
    </row>
    <row r="716" spans="1:7" ht="47.25" outlineLevel="2" x14ac:dyDescent="0.25">
      <c r="A716" s="29" t="s">
        <v>499</v>
      </c>
      <c r="B716" s="23" t="s">
        <v>137</v>
      </c>
      <c r="C716" s="23" t="s">
        <v>453</v>
      </c>
      <c r="D716" s="23"/>
      <c r="E716" s="19">
        <f>E719+E717</f>
        <v>108345.99999999999</v>
      </c>
      <c r="F716" s="19">
        <f t="shared" ref="F716:G716" si="299">F719+F717</f>
        <v>98162.200000000012</v>
      </c>
      <c r="G716" s="19">
        <f t="shared" si="299"/>
        <v>110669.3</v>
      </c>
    </row>
    <row r="717" spans="1:7" ht="113.25" customHeight="1" outlineLevel="2" x14ac:dyDescent="0.25">
      <c r="A717" s="8" t="s">
        <v>631</v>
      </c>
      <c r="B717" s="23" t="s">
        <v>137</v>
      </c>
      <c r="C717" s="18" t="s">
        <v>632</v>
      </c>
      <c r="D717" s="18"/>
      <c r="E717" s="19">
        <f>E718</f>
        <v>41877.199999999997</v>
      </c>
      <c r="F717" s="19">
        <f t="shared" ref="F717:G717" si="300">F718</f>
        <v>0</v>
      </c>
      <c r="G717" s="19">
        <f t="shared" si="300"/>
        <v>0</v>
      </c>
    </row>
    <row r="718" spans="1:7" ht="36.75" customHeight="1" outlineLevel="2" x14ac:dyDescent="0.25">
      <c r="A718" s="8" t="s">
        <v>310</v>
      </c>
      <c r="B718" s="23" t="s">
        <v>137</v>
      </c>
      <c r="C718" s="18" t="s">
        <v>632</v>
      </c>
      <c r="D718" s="18" t="s">
        <v>465</v>
      </c>
      <c r="E718" s="19">
        <f>42758.6-881.4</f>
        <v>41877.199999999997</v>
      </c>
      <c r="F718" s="19">
        <v>0</v>
      </c>
      <c r="G718" s="19">
        <v>0</v>
      </c>
    </row>
    <row r="719" spans="1:7" ht="63" outlineLevel="2" x14ac:dyDescent="0.25">
      <c r="A719" s="8" t="s">
        <v>643</v>
      </c>
      <c r="B719" s="23" t="s">
        <v>137</v>
      </c>
      <c r="C719" s="18" t="s">
        <v>464</v>
      </c>
      <c r="D719" s="23"/>
      <c r="E719" s="19">
        <f>E720</f>
        <v>66468.799999999988</v>
      </c>
      <c r="F719" s="19">
        <f t="shared" si="298"/>
        <v>98162.200000000012</v>
      </c>
      <c r="G719" s="19">
        <f t="shared" si="298"/>
        <v>110669.3</v>
      </c>
    </row>
    <row r="720" spans="1:7" ht="34.5" customHeight="1" outlineLevel="2" x14ac:dyDescent="0.25">
      <c r="A720" s="48" t="s">
        <v>310</v>
      </c>
      <c r="B720" s="23" t="s">
        <v>137</v>
      </c>
      <c r="C720" s="18" t="s">
        <v>464</v>
      </c>
      <c r="D720" s="23" t="s">
        <v>465</v>
      </c>
      <c r="E720" s="19">
        <f>51718.4+18707.5-3957.1</f>
        <v>66468.799999999988</v>
      </c>
      <c r="F720" s="19">
        <f>79252.1+18841.1+69</f>
        <v>98162.200000000012</v>
      </c>
      <c r="G720" s="19">
        <f>79252.1+31417.2</f>
        <v>110669.3</v>
      </c>
    </row>
    <row r="721" spans="1:7" outlineLevel="2" x14ac:dyDescent="0.25">
      <c r="A721" s="33" t="s">
        <v>144</v>
      </c>
      <c r="B721" s="23" t="s">
        <v>137</v>
      </c>
      <c r="C721" s="23" t="s">
        <v>135</v>
      </c>
      <c r="D721" s="3"/>
      <c r="E721" s="19">
        <f>E722</f>
        <v>1855.8999999999999</v>
      </c>
      <c r="F721" s="19">
        <f t="shared" ref="F721:G721" si="301">F722</f>
        <v>1794.4</v>
      </c>
      <c r="G721" s="19">
        <f t="shared" si="301"/>
        <v>1869.8</v>
      </c>
    </row>
    <row r="722" spans="1:7" ht="78.75" outlineLevel="2" x14ac:dyDescent="0.25">
      <c r="A722" s="8" t="s">
        <v>500</v>
      </c>
      <c r="B722" s="23" t="s">
        <v>137</v>
      </c>
      <c r="C722" s="18" t="s">
        <v>461</v>
      </c>
      <c r="D722" s="3"/>
      <c r="E722" s="19">
        <f>E723+E725</f>
        <v>1855.8999999999999</v>
      </c>
      <c r="F722" s="19">
        <f t="shared" ref="F722:G722" si="302">F723+F725</f>
        <v>1794.4</v>
      </c>
      <c r="G722" s="19">
        <f t="shared" si="302"/>
        <v>1869.8</v>
      </c>
    </row>
    <row r="723" spans="1:7" ht="97.5" customHeight="1" outlineLevel="2" x14ac:dyDescent="0.25">
      <c r="A723" s="33" t="s">
        <v>462</v>
      </c>
      <c r="B723" s="23" t="s">
        <v>137</v>
      </c>
      <c r="C723" s="18" t="s">
        <v>463</v>
      </c>
      <c r="D723" s="3"/>
      <c r="E723" s="19">
        <f>E724</f>
        <v>1205.8</v>
      </c>
      <c r="F723" s="19">
        <f t="shared" ref="F723:G723" si="303">F724</f>
        <v>1205.8</v>
      </c>
      <c r="G723" s="19">
        <f t="shared" si="303"/>
        <v>1205.8</v>
      </c>
    </row>
    <row r="724" spans="1:7" ht="31.5" outlineLevel="2" x14ac:dyDescent="0.25">
      <c r="A724" s="17" t="s">
        <v>20</v>
      </c>
      <c r="B724" s="18" t="s">
        <v>137</v>
      </c>
      <c r="C724" s="18" t="s">
        <v>463</v>
      </c>
      <c r="D724" s="9">
        <v>300</v>
      </c>
      <c r="E724" s="19">
        <f>201+1004.8</f>
        <v>1205.8</v>
      </c>
      <c r="F724" s="19">
        <f>201+1004.8</f>
        <v>1205.8</v>
      </c>
      <c r="G724" s="19">
        <f>201+1004.8</f>
        <v>1205.8</v>
      </c>
    </row>
    <row r="725" spans="1:7" ht="94.5" outlineLevel="2" x14ac:dyDescent="0.25">
      <c r="A725" s="2" t="s">
        <v>466</v>
      </c>
      <c r="B725" s="23" t="s">
        <v>137</v>
      </c>
      <c r="C725" s="18" t="s">
        <v>467</v>
      </c>
      <c r="D725" s="23"/>
      <c r="E725" s="19">
        <f>E726</f>
        <v>650.09999999999991</v>
      </c>
      <c r="F725" s="19">
        <f t="shared" ref="F725:G725" si="304">F726</f>
        <v>588.6</v>
      </c>
      <c r="G725" s="19">
        <f t="shared" si="304"/>
        <v>664</v>
      </c>
    </row>
    <row r="726" spans="1:7" ht="31.5" outlineLevel="2" x14ac:dyDescent="0.25">
      <c r="A726" s="20" t="s">
        <v>76</v>
      </c>
      <c r="B726" s="23" t="s">
        <v>137</v>
      </c>
      <c r="C726" s="18" t="s">
        <v>467</v>
      </c>
      <c r="D726" s="23" t="s">
        <v>39</v>
      </c>
      <c r="E726" s="19">
        <f>475.5+414.9-240.3</f>
        <v>650.09999999999991</v>
      </c>
      <c r="F726" s="19">
        <f>475.5+113.1</f>
        <v>588.6</v>
      </c>
      <c r="G726" s="19">
        <f>475.5+188.5</f>
        <v>664</v>
      </c>
    </row>
    <row r="727" spans="1:7" ht="31.5" outlineLevel="2" x14ac:dyDescent="0.25">
      <c r="A727" s="20" t="s">
        <v>209</v>
      </c>
      <c r="B727" s="18" t="s">
        <v>137</v>
      </c>
      <c r="C727" s="18" t="s">
        <v>210</v>
      </c>
      <c r="D727" s="18"/>
      <c r="E727" s="19">
        <f>E728</f>
        <v>243032.89999999997</v>
      </c>
      <c r="F727" s="19">
        <f t="shared" ref="F727:G727" si="305">F728</f>
        <v>244504.3</v>
      </c>
      <c r="G727" s="19">
        <f t="shared" si="305"/>
        <v>246035.1</v>
      </c>
    </row>
    <row r="728" spans="1:7" outlineLevel="2" x14ac:dyDescent="0.25">
      <c r="A728" s="20" t="s">
        <v>144</v>
      </c>
      <c r="B728" s="18" t="s">
        <v>137</v>
      </c>
      <c r="C728" s="18" t="s">
        <v>216</v>
      </c>
      <c r="D728" s="18"/>
      <c r="E728" s="19">
        <f>E729+E734</f>
        <v>243032.89999999997</v>
      </c>
      <c r="F728" s="19">
        <f t="shared" ref="F728:G728" si="306">F729+F734</f>
        <v>244504.3</v>
      </c>
      <c r="G728" s="19">
        <f t="shared" si="306"/>
        <v>246035.1</v>
      </c>
    </row>
    <row r="729" spans="1:7" ht="49.5" customHeight="1" outlineLevel="2" x14ac:dyDescent="0.25">
      <c r="A729" s="34" t="s">
        <v>496</v>
      </c>
      <c r="B729" s="18" t="s">
        <v>137</v>
      </c>
      <c r="C729" s="18" t="s">
        <v>217</v>
      </c>
      <c r="D729" s="18"/>
      <c r="E729" s="19">
        <f>E730</f>
        <v>182999.19999999998</v>
      </c>
      <c r="F729" s="19">
        <f t="shared" ref="F729:G729" si="307">F730</f>
        <v>181455.6</v>
      </c>
      <c r="G729" s="19">
        <f t="shared" si="307"/>
        <v>182999.5</v>
      </c>
    </row>
    <row r="730" spans="1:7" ht="69.75" customHeight="1" outlineLevel="2" x14ac:dyDescent="0.25">
      <c r="A730" s="33" t="s">
        <v>265</v>
      </c>
      <c r="B730" s="18" t="s">
        <v>137</v>
      </c>
      <c r="C730" s="18" t="s">
        <v>266</v>
      </c>
      <c r="D730" s="9"/>
      <c r="E730" s="19">
        <f>E731+E732+E733</f>
        <v>182999.19999999998</v>
      </c>
      <c r="F730" s="19">
        <f t="shared" ref="F730:G730" si="308">F731+F732+F733</f>
        <v>181455.6</v>
      </c>
      <c r="G730" s="19">
        <f t="shared" si="308"/>
        <v>182999.5</v>
      </c>
    </row>
    <row r="731" spans="1:7" ht="31.5" outlineLevel="2" x14ac:dyDescent="0.25">
      <c r="A731" s="17" t="s">
        <v>76</v>
      </c>
      <c r="B731" s="18" t="s">
        <v>137</v>
      </c>
      <c r="C731" s="18" t="s">
        <v>266</v>
      </c>
      <c r="D731" s="9">
        <v>200</v>
      </c>
      <c r="E731" s="19">
        <v>17</v>
      </c>
      <c r="F731" s="19">
        <v>17</v>
      </c>
      <c r="G731" s="19">
        <v>17</v>
      </c>
    </row>
    <row r="732" spans="1:7" ht="31.5" outlineLevel="2" x14ac:dyDescent="0.25">
      <c r="A732" s="17" t="s">
        <v>20</v>
      </c>
      <c r="B732" s="18" t="s">
        <v>137</v>
      </c>
      <c r="C732" s="18" t="s">
        <v>266</v>
      </c>
      <c r="D732" s="9">
        <v>300</v>
      </c>
      <c r="E732" s="19">
        <v>2390</v>
      </c>
      <c r="F732" s="19">
        <v>2390</v>
      </c>
      <c r="G732" s="19">
        <v>2390</v>
      </c>
    </row>
    <row r="733" spans="1:7" ht="47.25" outlineLevel="2" x14ac:dyDescent="0.25">
      <c r="A733" s="20" t="s">
        <v>94</v>
      </c>
      <c r="B733" s="18" t="s">
        <v>137</v>
      </c>
      <c r="C733" s="18" t="s">
        <v>266</v>
      </c>
      <c r="D733" s="9">
        <v>600</v>
      </c>
      <c r="E733" s="19">
        <f>169596.8+10995.4</f>
        <v>180592.19999999998</v>
      </c>
      <c r="F733" s="19">
        <f>169540.7+9507.9</f>
        <v>179048.6</v>
      </c>
      <c r="G733" s="19">
        <f>169540.7+11051.8</f>
        <v>180592.5</v>
      </c>
    </row>
    <row r="734" spans="1:7" ht="47.25" outlineLevel="2" x14ac:dyDescent="0.25">
      <c r="A734" s="33" t="s">
        <v>497</v>
      </c>
      <c r="B734" s="18" t="s">
        <v>137</v>
      </c>
      <c r="C734" s="18" t="s">
        <v>269</v>
      </c>
      <c r="D734" s="9"/>
      <c r="E734" s="19">
        <f>E735+E738+E741</f>
        <v>60033.7</v>
      </c>
      <c r="F734" s="19">
        <f t="shared" ref="F734:G734" si="309">F735+F738+F741</f>
        <v>63048.7</v>
      </c>
      <c r="G734" s="19">
        <f t="shared" si="309"/>
        <v>63035.6</v>
      </c>
    </row>
    <row r="735" spans="1:7" ht="63" outlineLevel="2" x14ac:dyDescent="0.25">
      <c r="A735" s="33" t="s">
        <v>270</v>
      </c>
      <c r="B735" s="18" t="s">
        <v>137</v>
      </c>
      <c r="C735" s="18" t="s">
        <v>271</v>
      </c>
      <c r="D735" s="9"/>
      <c r="E735" s="19">
        <f>E736+E737</f>
        <v>4502.6000000000004</v>
      </c>
      <c r="F735" s="19">
        <f t="shared" ref="F735:G735" si="310">F736+F737</f>
        <v>4436.8</v>
      </c>
      <c r="G735" s="19">
        <f t="shared" si="310"/>
        <v>4423.7</v>
      </c>
    </row>
    <row r="736" spans="1:7" ht="31.5" outlineLevel="2" x14ac:dyDescent="0.25">
      <c r="A736" s="20" t="s">
        <v>76</v>
      </c>
      <c r="B736" s="18" t="s">
        <v>137</v>
      </c>
      <c r="C736" s="18" t="s">
        <v>271</v>
      </c>
      <c r="D736" s="9">
        <v>200</v>
      </c>
      <c r="E736" s="19">
        <v>52</v>
      </c>
      <c r="F736" s="19">
        <v>52</v>
      </c>
      <c r="G736" s="19">
        <v>52</v>
      </c>
    </row>
    <row r="737" spans="1:7" ht="31.5" outlineLevel="2" x14ac:dyDescent="0.25">
      <c r="A737" s="20" t="s">
        <v>20</v>
      </c>
      <c r="B737" s="18" t="s">
        <v>137</v>
      </c>
      <c r="C737" s="18" t="s">
        <v>271</v>
      </c>
      <c r="D737" s="9">
        <v>300</v>
      </c>
      <c r="E737" s="19">
        <f>4165.3+285.3</f>
        <v>4450.6000000000004</v>
      </c>
      <c r="F737" s="19">
        <f>4227.3+157.5</f>
        <v>4384.8</v>
      </c>
      <c r="G737" s="19">
        <f>4227.3+144.4</f>
        <v>4371.7</v>
      </c>
    </row>
    <row r="738" spans="1:7" ht="99.75" customHeight="1" outlineLevel="2" x14ac:dyDescent="0.25">
      <c r="A738" s="33" t="s">
        <v>272</v>
      </c>
      <c r="B738" s="18" t="s">
        <v>137</v>
      </c>
      <c r="C738" s="18" t="s">
        <v>273</v>
      </c>
      <c r="D738" s="9"/>
      <c r="E738" s="19">
        <f>E739+E740</f>
        <v>234.49999999999997</v>
      </c>
      <c r="F738" s="19">
        <f t="shared" ref="F738:G738" si="311">F739+F740</f>
        <v>246.89999999999998</v>
      </c>
      <c r="G738" s="19">
        <f t="shared" si="311"/>
        <v>246.89999999999998</v>
      </c>
    </row>
    <row r="739" spans="1:7" ht="31.5" outlineLevel="2" x14ac:dyDescent="0.25">
      <c r="A739" s="20" t="s">
        <v>76</v>
      </c>
      <c r="B739" s="18" t="s">
        <v>137</v>
      </c>
      <c r="C739" s="18" t="s">
        <v>273</v>
      </c>
      <c r="D739" s="9">
        <v>200</v>
      </c>
      <c r="E739" s="19">
        <v>2.2000000000000002</v>
      </c>
      <c r="F739" s="19">
        <v>2.2000000000000002</v>
      </c>
      <c r="G739" s="19">
        <v>2.2000000000000002</v>
      </c>
    </row>
    <row r="740" spans="1:7" ht="31.5" outlineLevel="2" x14ac:dyDescent="0.25">
      <c r="A740" s="20" t="s">
        <v>20</v>
      </c>
      <c r="B740" s="18" t="s">
        <v>137</v>
      </c>
      <c r="C740" s="18" t="s">
        <v>273</v>
      </c>
      <c r="D740" s="9">
        <v>300</v>
      </c>
      <c r="E740" s="19">
        <f>152.2+80.1</f>
        <v>232.29999999999998</v>
      </c>
      <c r="F740" s="19">
        <f>152.2+92.5</f>
        <v>244.7</v>
      </c>
      <c r="G740" s="19">
        <f>152.2+92.5</f>
        <v>244.7</v>
      </c>
    </row>
    <row r="741" spans="1:7" ht="94.5" outlineLevel="2" x14ac:dyDescent="0.25">
      <c r="A741" s="33" t="s">
        <v>274</v>
      </c>
      <c r="B741" s="18" t="s">
        <v>137</v>
      </c>
      <c r="C741" s="18" t="s">
        <v>275</v>
      </c>
      <c r="D741" s="9"/>
      <c r="E741" s="19">
        <f>E742+E743</f>
        <v>55296.6</v>
      </c>
      <c r="F741" s="19">
        <f t="shared" ref="F741:G741" si="312">F742+F743</f>
        <v>58365</v>
      </c>
      <c r="G741" s="19">
        <f t="shared" si="312"/>
        <v>58365</v>
      </c>
    </row>
    <row r="742" spans="1:7" ht="31.5" outlineLevel="2" x14ac:dyDescent="0.25">
      <c r="A742" s="20" t="s">
        <v>76</v>
      </c>
      <c r="B742" s="18" t="s">
        <v>137</v>
      </c>
      <c r="C742" s="18" t="s">
        <v>275</v>
      </c>
      <c r="D742" s="9">
        <v>200</v>
      </c>
      <c r="E742" s="19">
        <v>500</v>
      </c>
      <c r="F742" s="19">
        <v>500</v>
      </c>
      <c r="G742" s="19">
        <v>500</v>
      </c>
    </row>
    <row r="743" spans="1:7" ht="31.5" outlineLevel="2" x14ac:dyDescent="0.25">
      <c r="A743" s="20" t="s">
        <v>20</v>
      </c>
      <c r="B743" s="18" t="s">
        <v>137</v>
      </c>
      <c r="C743" s="18" t="s">
        <v>275</v>
      </c>
      <c r="D743" s="9">
        <v>300</v>
      </c>
      <c r="E743" s="19">
        <f>39896.4+12958.8+1941.4</f>
        <v>54796.6</v>
      </c>
      <c r="F743" s="19">
        <f>39896.4+12958.8+5009.8</f>
        <v>57865</v>
      </c>
      <c r="G743" s="19">
        <f>39896.4+12958.8+5009.8</f>
        <v>57865</v>
      </c>
    </row>
    <row r="744" spans="1:7" s="69" customFormat="1" ht="16.5" customHeight="1" x14ac:dyDescent="0.25">
      <c r="A744" s="68" t="s">
        <v>185</v>
      </c>
      <c r="B744" s="14" t="s">
        <v>186</v>
      </c>
      <c r="C744" s="14"/>
      <c r="D744" s="15"/>
      <c r="E744" s="32">
        <f t="shared" ref="E744:F744" si="313">E745+E751+E771</f>
        <v>301021.59999999998</v>
      </c>
      <c r="F744" s="32">
        <f t="shared" si="313"/>
        <v>226123.6</v>
      </c>
      <c r="G744" s="32">
        <f>G745+G751+G771</f>
        <v>257799.7</v>
      </c>
    </row>
    <row r="745" spans="1:7" outlineLevel="1" x14ac:dyDescent="0.25">
      <c r="A745" s="17" t="s">
        <v>187</v>
      </c>
      <c r="B745" s="18" t="s">
        <v>188</v>
      </c>
      <c r="C745" s="18"/>
      <c r="D745" s="9"/>
      <c r="E745" s="19">
        <f>E746</f>
        <v>49074.6</v>
      </c>
      <c r="F745" s="19">
        <f>F746</f>
        <v>48654.5</v>
      </c>
      <c r="G745" s="19">
        <f>G746</f>
        <v>50017.599999999999</v>
      </c>
    </row>
    <row r="746" spans="1:7" ht="37.5" customHeight="1" outlineLevel="2" x14ac:dyDescent="0.25">
      <c r="A746" s="17" t="s">
        <v>189</v>
      </c>
      <c r="B746" s="18" t="s">
        <v>188</v>
      </c>
      <c r="C746" s="18" t="s">
        <v>190</v>
      </c>
      <c r="D746" s="9"/>
      <c r="E746" s="19">
        <f>+E747</f>
        <v>49074.6</v>
      </c>
      <c r="F746" s="19">
        <f t="shared" ref="F746:G746" si="314">+F747</f>
        <v>48654.5</v>
      </c>
      <c r="G746" s="19">
        <f t="shared" si="314"/>
        <v>50017.599999999999</v>
      </c>
    </row>
    <row r="747" spans="1:7" outlineLevel="2" x14ac:dyDescent="0.25">
      <c r="A747" s="17" t="s">
        <v>144</v>
      </c>
      <c r="B747" s="18" t="s">
        <v>188</v>
      </c>
      <c r="C747" s="18" t="s">
        <v>193</v>
      </c>
      <c r="D747" s="9"/>
      <c r="E747" s="19">
        <f t="shared" ref="E747:G749" si="315">E748</f>
        <v>49074.6</v>
      </c>
      <c r="F747" s="19">
        <f t="shared" si="315"/>
        <v>48654.5</v>
      </c>
      <c r="G747" s="19">
        <f t="shared" si="315"/>
        <v>50017.599999999999</v>
      </c>
    </row>
    <row r="748" spans="1:7" ht="87.75" customHeight="1" outlineLevel="2" x14ac:dyDescent="0.25">
      <c r="A748" s="17" t="s">
        <v>194</v>
      </c>
      <c r="B748" s="18" t="s">
        <v>188</v>
      </c>
      <c r="C748" s="18" t="s">
        <v>195</v>
      </c>
      <c r="D748" s="9"/>
      <c r="E748" s="19">
        <f t="shared" si="315"/>
        <v>49074.6</v>
      </c>
      <c r="F748" s="19">
        <f t="shared" si="315"/>
        <v>48654.5</v>
      </c>
      <c r="G748" s="19">
        <f t="shared" si="315"/>
        <v>50017.599999999999</v>
      </c>
    </row>
    <row r="749" spans="1:7" ht="38.25" customHeight="1" outlineLevel="2" x14ac:dyDescent="0.25">
      <c r="A749" s="17" t="s">
        <v>151</v>
      </c>
      <c r="B749" s="18" t="s">
        <v>188</v>
      </c>
      <c r="C749" s="18" t="s">
        <v>196</v>
      </c>
      <c r="D749" s="9"/>
      <c r="E749" s="19">
        <f t="shared" si="315"/>
        <v>49074.6</v>
      </c>
      <c r="F749" s="19">
        <f t="shared" si="315"/>
        <v>48654.5</v>
      </c>
      <c r="G749" s="19">
        <f t="shared" si="315"/>
        <v>50017.599999999999</v>
      </c>
    </row>
    <row r="750" spans="1:7" ht="47.25" outlineLevel="2" x14ac:dyDescent="0.25">
      <c r="A750" s="17" t="s">
        <v>94</v>
      </c>
      <c r="B750" s="18" t="s">
        <v>188</v>
      </c>
      <c r="C750" s="18" t="s">
        <v>196</v>
      </c>
      <c r="D750" s="9">
        <v>600</v>
      </c>
      <c r="E750" s="19">
        <f>47356.9+1717.7</f>
        <v>49074.6</v>
      </c>
      <c r="F750" s="19">
        <v>48654.5</v>
      </c>
      <c r="G750" s="19">
        <v>50017.599999999999</v>
      </c>
    </row>
    <row r="751" spans="1:7" outlineLevel="1" x14ac:dyDescent="0.25">
      <c r="A751" s="17" t="s">
        <v>197</v>
      </c>
      <c r="B751" s="18" t="s">
        <v>198</v>
      </c>
      <c r="C751" s="18"/>
      <c r="D751" s="9"/>
      <c r="E751" s="19">
        <f>E752</f>
        <v>15697.199999999999</v>
      </c>
      <c r="F751" s="19">
        <f>F752</f>
        <v>10854.1</v>
      </c>
      <c r="G751" s="19">
        <f>G752</f>
        <v>34258.400000000001</v>
      </c>
    </row>
    <row r="752" spans="1:7" ht="33.75" customHeight="1" outlineLevel="2" x14ac:dyDescent="0.25">
      <c r="A752" s="17" t="s">
        <v>189</v>
      </c>
      <c r="B752" s="18" t="s">
        <v>198</v>
      </c>
      <c r="C752" s="18" t="s">
        <v>190</v>
      </c>
      <c r="D752" s="9"/>
      <c r="E752" s="19">
        <f>E753+E765</f>
        <v>15697.199999999999</v>
      </c>
      <c r="F752" s="19">
        <f>F753+F765</f>
        <v>10854.1</v>
      </c>
      <c r="G752" s="19">
        <f>G753+G765</f>
        <v>34258.400000000001</v>
      </c>
    </row>
    <row r="753" spans="1:7" ht="21" customHeight="1" outlineLevel="2" x14ac:dyDescent="0.25">
      <c r="A753" s="17" t="s">
        <v>155</v>
      </c>
      <c r="B753" s="18" t="s">
        <v>198</v>
      </c>
      <c r="C753" s="18" t="s">
        <v>191</v>
      </c>
      <c r="D753" s="9"/>
      <c r="E753" s="19">
        <f>E757+E754+E761</f>
        <v>2327.4</v>
      </c>
      <c r="F753" s="19">
        <f t="shared" ref="F753" si="316">F757+F754+F761</f>
        <v>1020</v>
      </c>
      <c r="G753" s="19">
        <f>G757+G754+G760</f>
        <v>24424.3</v>
      </c>
    </row>
    <row r="754" spans="1:7" ht="63" outlineLevel="2" x14ac:dyDescent="0.25">
      <c r="A754" s="17" t="s">
        <v>502</v>
      </c>
      <c r="B754" s="18" t="s">
        <v>198</v>
      </c>
      <c r="C754" s="18" t="s">
        <v>192</v>
      </c>
      <c r="D754" s="18"/>
      <c r="E754" s="19">
        <f>E755</f>
        <v>471.4</v>
      </c>
      <c r="F754" s="19">
        <f t="shared" ref="F754:G755" si="317">F755</f>
        <v>0</v>
      </c>
      <c r="G754" s="19">
        <f t="shared" si="317"/>
        <v>0</v>
      </c>
    </row>
    <row r="755" spans="1:7" ht="31.5" outlineLevel="2" x14ac:dyDescent="0.25">
      <c r="A755" s="17" t="s">
        <v>484</v>
      </c>
      <c r="B755" s="18" t="s">
        <v>198</v>
      </c>
      <c r="C755" s="18" t="s">
        <v>485</v>
      </c>
      <c r="D755" s="18"/>
      <c r="E755" s="19">
        <f>E756</f>
        <v>471.4</v>
      </c>
      <c r="F755" s="19">
        <f t="shared" si="317"/>
        <v>0</v>
      </c>
      <c r="G755" s="19">
        <f t="shared" si="317"/>
        <v>0</v>
      </c>
    </row>
    <row r="756" spans="1:7" ht="47.25" outlineLevel="2" x14ac:dyDescent="0.25">
      <c r="A756" s="17" t="s">
        <v>94</v>
      </c>
      <c r="B756" s="18" t="s">
        <v>198</v>
      </c>
      <c r="C756" s="18" t="s">
        <v>485</v>
      </c>
      <c r="D756" s="18">
        <v>600</v>
      </c>
      <c r="E756" s="19">
        <v>471.4</v>
      </c>
      <c r="F756" s="19">
        <v>0</v>
      </c>
      <c r="G756" s="19">
        <v>0</v>
      </c>
    </row>
    <row r="757" spans="1:7" ht="47.25" outlineLevel="2" x14ac:dyDescent="0.25">
      <c r="A757" s="17" t="s">
        <v>200</v>
      </c>
      <c r="B757" s="18" t="s">
        <v>198</v>
      </c>
      <c r="C757" s="18" t="s">
        <v>201</v>
      </c>
      <c r="D757" s="9"/>
      <c r="E757" s="19">
        <f t="shared" ref="E757:G758" si="318">E758</f>
        <v>1256</v>
      </c>
      <c r="F757" s="19">
        <f t="shared" si="318"/>
        <v>1020</v>
      </c>
      <c r="G757" s="19">
        <f t="shared" si="318"/>
        <v>1020</v>
      </c>
    </row>
    <row r="758" spans="1:7" ht="63" outlineLevel="2" x14ac:dyDescent="0.25">
      <c r="A758" s="17" t="s">
        <v>175</v>
      </c>
      <c r="B758" s="18" t="s">
        <v>198</v>
      </c>
      <c r="C758" s="18" t="s">
        <v>487</v>
      </c>
      <c r="D758" s="9"/>
      <c r="E758" s="19">
        <f t="shared" si="318"/>
        <v>1256</v>
      </c>
      <c r="F758" s="19">
        <f t="shared" si="318"/>
        <v>1020</v>
      </c>
      <c r="G758" s="19">
        <f t="shared" si="318"/>
        <v>1020</v>
      </c>
    </row>
    <row r="759" spans="1:7" ht="47.25" outlineLevel="2" x14ac:dyDescent="0.25">
      <c r="A759" s="17" t="s">
        <v>94</v>
      </c>
      <c r="B759" s="18" t="s">
        <v>198</v>
      </c>
      <c r="C759" s="18" t="s">
        <v>487</v>
      </c>
      <c r="D759" s="9">
        <v>600</v>
      </c>
      <c r="E759" s="19">
        <f>836+420</f>
        <v>1256</v>
      </c>
      <c r="F759" s="19">
        <f>600+420</f>
        <v>1020</v>
      </c>
      <c r="G759" s="19">
        <f>600+420</f>
        <v>1020</v>
      </c>
    </row>
    <row r="760" spans="1:7" ht="47.25" outlineLevel="2" x14ac:dyDescent="0.25">
      <c r="A760" s="75" t="s">
        <v>747</v>
      </c>
      <c r="B760" s="18" t="s">
        <v>198</v>
      </c>
      <c r="C760" s="19" t="s">
        <v>746</v>
      </c>
      <c r="D760" s="19"/>
      <c r="E760" s="19">
        <f>+E761</f>
        <v>600</v>
      </c>
      <c r="F760" s="19">
        <f t="shared" ref="F760" si="319">+F761</f>
        <v>0</v>
      </c>
      <c r="G760" s="19">
        <f>+G761+G763</f>
        <v>23404.3</v>
      </c>
    </row>
    <row r="761" spans="1:7" ht="31.5" outlineLevel="2" x14ac:dyDescent="0.25">
      <c r="A761" s="92" t="s">
        <v>744</v>
      </c>
      <c r="B761" s="18" t="s">
        <v>198</v>
      </c>
      <c r="C761" s="19" t="s">
        <v>745</v>
      </c>
      <c r="D761" s="9"/>
      <c r="E761" s="19">
        <f>E762</f>
        <v>600</v>
      </c>
      <c r="F761" s="19">
        <f t="shared" ref="F761:G761" si="320">F762</f>
        <v>0</v>
      </c>
      <c r="G761" s="19">
        <f t="shared" si="320"/>
        <v>0</v>
      </c>
    </row>
    <row r="762" spans="1:7" ht="31.5" outlineLevel="2" x14ac:dyDescent="0.25">
      <c r="A762" s="92" t="s">
        <v>76</v>
      </c>
      <c r="B762" s="18" t="s">
        <v>198</v>
      </c>
      <c r="C762" s="19" t="s">
        <v>745</v>
      </c>
      <c r="D762" s="9">
        <v>200</v>
      </c>
      <c r="E762" s="19">
        <v>600</v>
      </c>
      <c r="F762" s="19">
        <v>0</v>
      </c>
      <c r="G762" s="19">
        <v>0</v>
      </c>
    </row>
    <row r="763" spans="1:7" ht="31.5" outlineLevel="2" x14ac:dyDescent="0.25">
      <c r="A763" s="75" t="s">
        <v>748</v>
      </c>
      <c r="B763" s="76" t="s">
        <v>198</v>
      </c>
      <c r="C763" s="76" t="s">
        <v>749</v>
      </c>
      <c r="D763" s="76"/>
      <c r="E763" s="19">
        <f t="shared" ref="E763:F763" si="321">E764</f>
        <v>0</v>
      </c>
      <c r="F763" s="19">
        <f t="shared" si="321"/>
        <v>0</v>
      </c>
      <c r="G763" s="19">
        <f>G764</f>
        <v>23404.3</v>
      </c>
    </row>
    <row r="764" spans="1:7" ht="47.25" outlineLevel="2" x14ac:dyDescent="0.25">
      <c r="A764" s="75" t="s">
        <v>94</v>
      </c>
      <c r="B764" s="76" t="s">
        <v>198</v>
      </c>
      <c r="C764" s="76" t="s">
        <v>749</v>
      </c>
      <c r="D764" s="76">
        <v>600</v>
      </c>
      <c r="E764" s="19">
        <v>0</v>
      </c>
      <c r="F764" s="19">
        <v>0</v>
      </c>
      <c r="G764" s="19">
        <f>1404.3+22000</f>
        <v>23404.3</v>
      </c>
    </row>
    <row r="765" spans="1:7" outlineLevel="2" x14ac:dyDescent="0.25">
      <c r="A765" s="17" t="s">
        <v>144</v>
      </c>
      <c r="B765" s="18" t="s">
        <v>198</v>
      </c>
      <c r="C765" s="18" t="s">
        <v>193</v>
      </c>
      <c r="D765" s="9"/>
      <c r="E765" s="19">
        <f>E766</f>
        <v>13369.8</v>
      </c>
      <c r="F765" s="19">
        <f>F766</f>
        <v>9834.1</v>
      </c>
      <c r="G765" s="19">
        <f>G766</f>
        <v>9834.1</v>
      </c>
    </row>
    <row r="766" spans="1:7" ht="87" customHeight="1" outlineLevel="2" x14ac:dyDescent="0.25">
      <c r="A766" s="17" t="s">
        <v>194</v>
      </c>
      <c r="B766" s="18" t="s">
        <v>198</v>
      </c>
      <c r="C766" s="18" t="s">
        <v>195</v>
      </c>
      <c r="D766" s="9"/>
      <c r="E766" s="19">
        <f>E767+E769</f>
        <v>13369.8</v>
      </c>
      <c r="F766" s="19">
        <f>F767+F769</f>
        <v>9834.1</v>
      </c>
      <c r="G766" s="19">
        <f>G767+G769</f>
        <v>9834.1</v>
      </c>
    </row>
    <row r="767" spans="1:7" ht="31.5" outlineLevel="2" x14ac:dyDescent="0.25">
      <c r="A767" s="17" t="s">
        <v>202</v>
      </c>
      <c r="B767" s="18" t="s">
        <v>198</v>
      </c>
      <c r="C767" s="18" t="s">
        <v>203</v>
      </c>
      <c r="D767" s="9"/>
      <c r="E767" s="19">
        <f>E768</f>
        <v>10169</v>
      </c>
      <c r="F767" s="19">
        <f>F768</f>
        <v>7833.3</v>
      </c>
      <c r="G767" s="19">
        <f>G768</f>
        <v>7833.3</v>
      </c>
    </row>
    <row r="768" spans="1:7" ht="31.5" outlineLevel="2" x14ac:dyDescent="0.25">
      <c r="A768" s="17" t="s">
        <v>76</v>
      </c>
      <c r="B768" s="18" t="s">
        <v>198</v>
      </c>
      <c r="C768" s="18" t="s">
        <v>203</v>
      </c>
      <c r="D768" s="9">
        <v>200</v>
      </c>
      <c r="E768" s="19">
        <f>6800+1700+250+700+99.3+619.7</f>
        <v>10169</v>
      </c>
      <c r="F768" s="19">
        <f>5583.3+1500+250+500</f>
        <v>7833.3</v>
      </c>
      <c r="G768" s="19">
        <v>7833.3</v>
      </c>
    </row>
    <row r="769" spans="1:7" ht="47.25" outlineLevel="2" x14ac:dyDescent="0.25">
      <c r="A769" s="17" t="s">
        <v>204</v>
      </c>
      <c r="B769" s="18" t="s">
        <v>198</v>
      </c>
      <c r="C769" s="18" t="s">
        <v>205</v>
      </c>
      <c r="D769" s="9"/>
      <c r="E769" s="19">
        <f>E770</f>
        <v>3200.8</v>
      </c>
      <c r="F769" s="19">
        <f>F770</f>
        <v>2000.8</v>
      </c>
      <c r="G769" s="19">
        <f>G770</f>
        <v>2000.8</v>
      </c>
    </row>
    <row r="770" spans="1:7" ht="87.75" customHeight="1" outlineLevel="2" x14ac:dyDescent="0.25">
      <c r="A770" s="17" t="s">
        <v>75</v>
      </c>
      <c r="B770" s="18" t="s">
        <v>198</v>
      </c>
      <c r="C770" s="18" t="s">
        <v>205</v>
      </c>
      <c r="D770" s="9">
        <v>100</v>
      </c>
      <c r="E770" s="19">
        <v>3200.8</v>
      </c>
      <c r="F770" s="19">
        <v>2000.8</v>
      </c>
      <c r="G770" s="19">
        <v>2000.8</v>
      </c>
    </row>
    <row r="771" spans="1:7" outlineLevel="1" x14ac:dyDescent="0.25">
      <c r="A771" s="17" t="s">
        <v>206</v>
      </c>
      <c r="B771" s="18" t="s">
        <v>199</v>
      </c>
      <c r="C771" s="18"/>
      <c r="D771" s="9"/>
      <c r="E771" s="19">
        <f>E782+E772</f>
        <v>236249.8</v>
      </c>
      <c r="F771" s="19">
        <f t="shared" ref="F771:G771" si="322">F782+F772</f>
        <v>166615</v>
      </c>
      <c r="G771" s="19">
        <f t="shared" si="322"/>
        <v>173523.7</v>
      </c>
    </row>
    <row r="772" spans="1:7" ht="31.5" outlineLevel="2" x14ac:dyDescent="0.25">
      <c r="A772" s="20" t="s">
        <v>209</v>
      </c>
      <c r="B772" s="18" t="s">
        <v>199</v>
      </c>
      <c r="C772" s="18" t="s">
        <v>210</v>
      </c>
      <c r="D772" s="9"/>
      <c r="E772" s="19">
        <f>E773</f>
        <v>205707.09999999998</v>
      </c>
      <c r="F772" s="19">
        <f t="shared" ref="F772:G772" si="323">F773</f>
        <v>136447.20000000001</v>
      </c>
      <c r="G772" s="19">
        <f t="shared" si="323"/>
        <v>142469.30000000002</v>
      </c>
    </row>
    <row r="773" spans="1:7" outlineLevel="2" x14ac:dyDescent="0.25">
      <c r="A773" s="20" t="s">
        <v>144</v>
      </c>
      <c r="B773" s="18" t="s">
        <v>199</v>
      </c>
      <c r="C773" s="18" t="s">
        <v>216</v>
      </c>
      <c r="D773" s="9"/>
      <c r="E773" s="19">
        <f>E774+E777</f>
        <v>205707.09999999998</v>
      </c>
      <c r="F773" s="19">
        <f t="shared" ref="F773:G773" si="324">F774+F777</f>
        <v>136447.20000000001</v>
      </c>
      <c r="G773" s="19">
        <f t="shared" si="324"/>
        <v>142469.30000000002</v>
      </c>
    </row>
    <row r="774" spans="1:7" ht="48.75" customHeight="1" outlineLevel="2" x14ac:dyDescent="0.25">
      <c r="A774" s="20" t="s">
        <v>486</v>
      </c>
      <c r="B774" s="18" t="s">
        <v>199</v>
      </c>
      <c r="C774" s="18" t="s">
        <v>217</v>
      </c>
      <c r="D774" s="9"/>
      <c r="E774" s="19">
        <f>E775</f>
        <v>205611.89999999997</v>
      </c>
      <c r="F774" s="19">
        <f t="shared" ref="F774:G775" si="325">F775</f>
        <v>136391.1</v>
      </c>
      <c r="G774" s="19">
        <f t="shared" si="325"/>
        <v>142413.20000000001</v>
      </c>
    </row>
    <row r="775" spans="1:7" ht="39.75" customHeight="1" outlineLevel="2" x14ac:dyDescent="0.25">
      <c r="A775" s="8" t="s">
        <v>151</v>
      </c>
      <c r="B775" s="18" t="s">
        <v>199</v>
      </c>
      <c r="C775" s="18" t="s">
        <v>218</v>
      </c>
      <c r="D775" s="9"/>
      <c r="E775" s="19">
        <f>E776</f>
        <v>205611.89999999997</v>
      </c>
      <c r="F775" s="19">
        <f t="shared" si="325"/>
        <v>136391.1</v>
      </c>
      <c r="G775" s="19">
        <f t="shared" si="325"/>
        <v>142413.20000000001</v>
      </c>
    </row>
    <row r="776" spans="1:7" ht="47.25" outlineLevel="2" x14ac:dyDescent="0.25">
      <c r="A776" s="17" t="s">
        <v>94</v>
      </c>
      <c r="B776" s="18" t="s">
        <v>199</v>
      </c>
      <c r="C776" s="18" t="s">
        <v>218</v>
      </c>
      <c r="D776" s="9">
        <v>600</v>
      </c>
      <c r="E776" s="19">
        <f>130715.5+1298.4+15747.3+10207.8+8841+5282.4+33519.5</f>
        <v>205611.89999999997</v>
      </c>
      <c r="F776" s="19">
        <v>136391.1</v>
      </c>
      <c r="G776" s="19">
        <v>142413.20000000001</v>
      </c>
    </row>
    <row r="777" spans="1:7" ht="63" outlineLevel="2" x14ac:dyDescent="0.25">
      <c r="A777" s="33" t="s">
        <v>490</v>
      </c>
      <c r="B777" s="18" t="s">
        <v>199</v>
      </c>
      <c r="C777" s="18" t="s">
        <v>223</v>
      </c>
      <c r="D777" s="54"/>
      <c r="E777" s="19">
        <f>E780+E778</f>
        <v>95.2</v>
      </c>
      <c r="F777" s="19">
        <f>F780</f>
        <v>56.1</v>
      </c>
      <c r="G777" s="19">
        <f>G780</f>
        <v>56.1</v>
      </c>
    </row>
    <row r="778" spans="1:7" ht="31.5" outlineLevel="2" x14ac:dyDescent="0.25">
      <c r="A778" s="78" t="s">
        <v>250</v>
      </c>
      <c r="B778" s="76" t="s">
        <v>199</v>
      </c>
      <c r="C778" s="93" t="s">
        <v>251</v>
      </c>
      <c r="D778" s="76"/>
      <c r="E778" s="19">
        <f>E779</f>
        <v>39.1</v>
      </c>
      <c r="F778" s="19">
        <f t="shared" ref="F778:G778" si="326">F779</f>
        <v>0</v>
      </c>
      <c r="G778" s="19">
        <f t="shared" si="326"/>
        <v>0</v>
      </c>
    </row>
    <row r="779" spans="1:7" ht="47.25" outlineLevel="2" x14ac:dyDescent="0.25">
      <c r="A779" s="74" t="s">
        <v>94</v>
      </c>
      <c r="B779" s="76" t="s">
        <v>199</v>
      </c>
      <c r="C779" s="93" t="s">
        <v>251</v>
      </c>
      <c r="D779" s="76">
        <v>600</v>
      </c>
      <c r="E779" s="19">
        <v>39.1</v>
      </c>
      <c r="F779" s="19">
        <v>0</v>
      </c>
      <c r="G779" s="19">
        <v>0</v>
      </c>
    </row>
    <row r="780" spans="1:7" ht="47.25" outlineLevel="2" x14ac:dyDescent="0.25">
      <c r="A780" s="53" t="s">
        <v>254</v>
      </c>
      <c r="B780" s="18" t="s">
        <v>199</v>
      </c>
      <c r="C780" s="55" t="s">
        <v>225</v>
      </c>
      <c r="D780" s="54"/>
      <c r="E780" s="19">
        <f>E781</f>
        <v>56.1</v>
      </c>
      <c r="F780" s="19">
        <f t="shared" ref="F780:G780" si="327">F781</f>
        <v>56.1</v>
      </c>
      <c r="G780" s="19">
        <f t="shared" si="327"/>
        <v>56.1</v>
      </c>
    </row>
    <row r="781" spans="1:7" ht="47.25" outlineLevel="2" x14ac:dyDescent="0.25">
      <c r="A781" s="20" t="s">
        <v>94</v>
      </c>
      <c r="B781" s="18" t="s">
        <v>199</v>
      </c>
      <c r="C781" s="55" t="s">
        <v>225</v>
      </c>
      <c r="D781" s="54">
        <v>600</v>
      </c>
      <c r="E781" s="19">
        <v>56.1</v>
      </c>
      <c r="F781" s="19">
        <v>56.1</v>
      </c>
      <c r="G781" s="19">
        <v>56.1</v>
      </c>
    </row>
    <row r="782" spans="1:7" ht="39.75" customHeight="1" outlineLevel="2" x14ac:dyDescent="0.25">
      <c r="A782" s="17" t="s">
        <v>189</v>
      </c>
      <c r="B782" s="18" t="s">
        <v>199</v>
      </c>
      <c r="C782" s="18" t="s">
        <v>190</v>
      </c>
      <c r="D782" s="9"/>
      <c r="E782" s="19">
        <f>E787+E783</f>
        <v>30542.699999999997</v>
      </c>
      <c r="F782" s="19">
        <f>F787</f>
        <v>30167.8</v>
      </c>
      <c r="G782" s="19">
        <f>G787</f>
        <v>31054.400000000001</v>
      </c>
    </row>
    <row r="783" spans="1:7" ht="19.5" customHeight="1" outlineLevel="2" x14ac:dyDescent="0.25">
      <c r="A783" s="17" t="s">
        <v>155</v>
      </c>
      <c r="B783" s="18" t="s">
        <v>199</v>
      </c>
      <c r="C783" s="18" t="s">
        <v>191</v>
      </c>
      <c r="D783" s="18"/>
      <c r="E783" s="19">
        <f>E784</f>
        <v>1015.1</v>
      </c>
      <c r="F783" s="19">
        <f t="shared" ref="F783:G785" si="328">F784</f>
        <v>0</v>
      </c>
      <c r="G783" s="19">
        <f t="shared" si="328"/>
        <v>0</v>
      </c>
    </row>
    <row r="784" spans="1:7" ht="47.25" outlineLevel="2" x14ac:dyDescent="0.25">
      <c r="A784" s="17" t="s">
        <v>544</v>
      </c>
      <c r="B784" s="18" t="s">
        <v>199</v>
      </c>
      <c r="C784" s="18" t="s">
        <v>545</v>
      </c>
      <c r="D784" s="18"/>
      <c r="E784" s="19">
        <f t="shared" ref="E784:E785" si="329">E785</f>
        <v>1015.1</v>
      </c>
      <c r="F784" s="19">
        <f t="shared" si="328"/>
        <v>0</v>
      </c>
      <c r="G784" s="19">
        <f t="shared" si="328"/>
        <v>0</v>
      </c>
    </row>
    <row r="785" spans="1:7" ht="63" outlineLevel="2" x14ac:dyDescent="0.25">
      <c r="A785" s="17" t="s">
        <v>175</v>
      </c>
      <c r="B785" s="18" t="s">
        <v>199</v>
      </c>
      <c r="C785" s="70" t="s">
        <v>546</v>
      </c>
      <c r="D785" s="18"/>
      <c r="E785" s="19">
        <f t="shared" si="329"/>
        <v>1015.1</v>
      </c>
      <c r="F785" s="19">
        <f t="shared" si="328"/>
        <v>0</v>
      </c>
      <c r="G785" s="19">
        <f t="shared" si="328"/>
        <v>0</v>
      </c>
    </row>
    <row r="786" spans="1:7" ht="47.25" outlineLevel="2" x14ac:dyDescent="0.25">
      <c r="A786" s="17" t="s">
        <v>94</v>
      </c>
      <c r="B786" s="18" t="s">
        <v>199</v>
      </c>
      <c r="C786" s="70" t="s">
        <v>546</v>
      </c>
      <c r="D786" s="18" t="s">
        <v>95</v>
      </c>
      <c r="E786" s="19">
        <f>55.2+5.7+89.5+864.7</f>
        <v>1015.1</v>
      </c>
      <c r="F786" s="19">
        <v>0</v>
      </c>
      <c r="G786" s="19">
        <v>0</v>
      </c>
    </row>
    <row r="787" spans="1:7" outlineLevel="2" x14ac:dyDescent="0.25">
      <c r="A787" s="17" t="s">
        <v>144</v>
      </c>
      <c r="B787" s="18" t="s">
        <v>199</v>
      </c>
      <c r="C787" s="18" t="s">
        <v>193</v>
      </c>
      <c r="D787" s="9"/>
      <c r="E787" s="19">
        <f>E788</f>
        <v>29527.599999999999</v>
      </c>
      <c r="F787" s="19">
        <f t="shared" ref="F787:G787" si="330">F788</f>
        <v>30167.8</v>
      </c>
      <c r="G787" s="19">
        <f t="shared" si="330"/>
        <v>31054.400000000001</v>
      </c>
    </row>
    <row r="788" spans="1:7" ht="85.5" customHeight="1" outlineLevel="2" x14ac:dyDescent="0.25">
      <c r="A788" s="17" t="s">
        <v>194</v>
      </c>
      <c r="B788" s="18" t="s">
        <v>199</v>
      </c>
      <c r="C788" s="18" t="s">
        <v>195</v>
      </c>
      <c r="D788" s="9"/>
      <c r="E788" s="19">
        <f>E789+E791</f>
        <v>29527.599999999999</v>
      </c>
      <c r="F788" s="19">
        <f t="shared" ref="F788:G788" si="331">F789+F791</f>
        <v>30167.8</v>
      </c>
      <c r="G788" s="19">
        <f t="shared" si="331"/>
        <v>31054.400000000001</v>
      </c>
    </row>
    <row r="789" spans="1:7" ht="51" customHeight="1" outlineLevel="2" x14ac:dyDescent="0.25">
      <c r="A789" s="17" t="s">
        <v>207</v>
      </c>
      <c r="B789" s="18" t="s">
        <v>199</v>
      </c>
      <c r="C789" s="18" t="s">
        <v>208</v>
      </c>
      <c r="D789" s="9"/>
      <c r="E789" s="19">
        <f>E790</f>
        <v>950</v>
      </c>
      <c r="F789" s="19">
        <f>F790</f>
        <v>950</v>
      </c>
      <c r="G789" s="19">
        <f>G790</f>
        <v>950</v>
      </c>
    </row>
    <row r="790" spans="1:7" ht="31.5" outlineLevel="2" x14ac:dyDescent="0.25">
      <c r="A790" s="17" t="s">
        <v>20</v>
      </c>
      <c r="B790" s="18" t="s">
        <v>199</v>
      </c>
      <c r="C790" s="18" t="s">
        <v>208</v>
      </c>
      <c r="D790" s="9">
        <v>300</v>
      </c>
      <c r="E790" s="19">
        <v>950</v>
      </c>
      <c r="F790" s="19">
        <v>950</v>
      </c>
      <c r="G790" s="19">
        <v>950</v>
      </c>
    </row>
    <row r="791" spans="1:7" ht="37.5" customHeight="1" outlineLevel="2" x14ac:dyDescent="0.25">
      <c r="A791" s="17" t="s">
        <v>151</v>
      </c>
      <c r="B791" s="18" t="s">
        <v>199</v>
      </c>
      <c r="C791" s="18" t="s">
        <v>196</v>
      </c>
      <c r="D791" s="9"/>
      <c r="E791" s="19">
        <f>E792</f>
        <v>28577.599999999999</v>
      </c>
      <c r="F791" s="19">
        <f>F792</f>
        <v>29217.8</v>
      </c>
      <c r="G791" s="19">
        <f>G792</f>
        <v>30104.400000000001</v>
      </c>
    </row>
    <row r="792" spans="1:7" ht="47.25" outlineLevel="2" x14ac:dyDescent="0.25">
      <c r="A792" s="17" t="s">
        <v>94</v>
      </c>
      <c r="B792" s="18" t="s">
        <v>199</v>
      </c>
      <c r="C792" s="18" t="s">
        <v>196</v>
      </c>
      <c r="D792" s="9">
        <v>600</v>
      </c>
      <c r="E792" s="19">
        <f>28376.3+42.5+158.8</f>
        <v>28577.599999999999</v>
      </c>
      <c r="F792" s="19">
        <v>29217.8</v>
      </c>
      <c r="G792" s="19">
        <v>30104.400000000001</v>
      </c>
    </row>
    <row r="793" spans="1:7" x14ac:dyDescent="0.25">
      <c r="A793" s="71" t="s">
        <v>468</v>
      </c>
      <c r="B793" s="37" t="s">
        <v>469</v>
      </c>
      <c r="C793" s="37"/>
      <c r="D793" s="47"/>
      <c r="E793" s="16">
        <f>E794</f>
        <v>22330.800000000003</v>
      </c>
      <c r="F793" s="16">
        <f t="shared" ref="F793:G796" si="332">F794</f>
        <v>34815.9</v>
      </c>
      <c r="G793" s="16">
        <f t="shared" si="332"/>
        <v>36037.4</v>
      </c>
    </row>
    <row r="794" spans="1:7" outlineLevel="1" x14ac:dyDescent="0.25">
      <c r="A794" s="40" t="s">
        <v>470</v>
      </c>
      <c r="B794" s="23" t="s">
        <v>471</v>
      </c>
      <c r="C794" s="23"/>
      <c r="D794" s="24"/>
      <c r="E794" s="19">
        <f>E795</f>
        <v>22330.800000000003</v>
      </c>
      <c r="F794" s="19">
        <f t="shared" si="332"/>
        <v>34815.9</v>
      </c>
      <c r="G794" s="19">
        <f t="shared" si="332"/>
        <v>36037.4</v>
      </c>
    </row>
    <row r="795" spans="1:7" outlineLevel="2" x14ac:dyDescent="0.25">
      <c r="A795" s="49" t="s">
        <v>9</v>
      </c>
      <c r="B795" s="23" t="s">
        <v>471</v>
      </c>
      <c r="C795" s="23" t="s">
        <v>10</v>
      </c>
      <c r="D795" s="24"/>
      <c r="E795" s="19">
        <f>E796</f>
        <v>22330.800000000003</v>
      </c>
      <c r="F795" s="19">
        <f t="shared" si="332"/>
        <v>34815.9</v>
      </c>
      <c r="G795" s="19">
        <f t="shared" si="332"/>
        <v>36037.4</v>
      </c>
    </row>
    <row r="796" spans="1:7" ht="33" customHeight="1" outlineLevel="2" x14ac:dyDescent="0.25">
      <c r="A796" s="49" t="s">
        <v>151</v>
      </c>
      <c r="B796" s="23" t="s">
        <v>471</v>
      </c>
      <c r="C796" s="23" t="s">
        <v>45</v>
      </c>
      <c r="D796" s="24"/>
      <c r="E796" s="19">
        <f>E797</f>
        <v>22330.800000000003</v>
      </c>
      <c r="F796" s="19">
        <f t="shared" si="332"/>
        <v>34815.9</v>
      </c>
      <c r="G796" s="19">
        <f t="shared" si="332"/>
        <v>36037.4</v>
      </c>
    </row>
    <row r="797" spans="1:7" ht="47.25" outlineLevel="2" x14ac:dyDescent="0.25">
      <c r="A797" s="49" t="s">
        <v>94</v>
      </c>
      <c r="B797" s="23" t="s">
        <v>471</v>
      </c>
      <c r="C797" s="23" t="s">
        <v>45</v>
      </c>
      <c r="D797" s="24">
        <v>600</v>
      </c>
      <c r="E797" s="19">
        <f>33638.3-11307.5</f>
        <v>22330.800000000003</v>
      </c>
      <c r="F797" s="19">
        <v>34815.9</v>
      </c>
      <c r="G797" s="19">
        <v>36037.4</v>
      </c>
    </row>
    <row r="798" spans="1:7" ht="31.5" x14ac:dyDescent="0.25">
      <c r="A798" s="68" t="s">
        <v>112</v>
      </c>
      <c r="B798" s="14" t="s">
        <v>113</v>
      </c>
      <c r="C798" s="14"/>
      <c r="D798" s="15"/>
      <c r="E798" s="32">
        <f>E799</f>
        <v>143371.5</v>
      </c>
      <c r="F798" s="32">
        <f t="shared" ref="F798:G801" si="333">F799</f>
        <v>183171</v>
      </c>
      <c r="G798" s="32">
        <f t="shared" si="333"/>
        <v>236273.4</v>
      </c>
    </row>
    <row r="799" spans="1:7" ht="31.5" outlineLevel="1" x14ac:dyDescent="0.25">
      <c r="A799" s="17" t="s">
        <v>114</v>
      </c>
      <c r="B799" s="18" t="s">
        <v>115</v>
      </c>
      <c r="C799" s="18"/>
      <c r="D799" s="9"/>
      <c r="E799" s="19">
        <f>E800</f>
        <v>143371.5</v>
      </c>
      <c r="F799" s="19">
        <f t="shared" si="333"/>
        <v>183171</v>
      </c>
      <c r="G799" s="19">
        <f t="shared" si="333"/>
        <v>236273.4</v>
      </c>
    </row>
    <row r="800" spans="1:7" outlineLevel="2" x14ac:dyDescent="0.25">
      <c r="A800" s="17" t="s">
        <v>9</v>
      </c>
      <c r="B800" s="18" t="s">
        <v>115</v>
      </c>
      <c r="C800" s="18" t="s">
        <v>10</v>
      </c>
      <c r="D800" s="9"/>
      <c r="E800" s="19">
        <f>E801</f>
        <v>143371.5</v>
      </c>
      <c r="F800" s="19">
        <f t="shared" si="333"/>
        <v>183171</v>
      </c>
      <c r="G800" s="19">
        <f t="shared" si="333"/>
        <v>236273.4</v>
      </c>
    </row>
    <row r="801" spans="1:8" ht="21" customHeight="1" outlineLevel="2" x14ac:dyDescent="0.25">
      <c r="A801" s="17" t="s">
        <v>116</v>
      </c>
      <c r="B801" s="18" t="s">
        <v>115</v>
      </c>
      <c r="C801" s="18" t="s">
        <v>117</v>
      </c>
      <c r="D801" s="9"/>
      <c r="E801" s="19">
        <f>E802</f>
        <v>143371.5</v>
      </c>
      <c r="F801" s="19">
        <f t="shared" si="333"/>
        <v>183171</v>
      </c>
      <c r="G801" s="100">
        <f t="shared" si="333"/>
        <v>236273.4</v>
      </c>
    </row>
    <row r="802" spans="1:8" ht="31.5" outlineLevel="2" x14ac:dyDescent="0.25">
      <c r="A802" s="17" t="s">
        <v>118</v>
      </c>
      <c r="B802" s="18" t="s">
        <v>115</v>
      </c>
      <c r="C802" s="18" t="s">
        <v>117</v>
      </c>
      <c r="D802" s="9">
        <v>700</v>
      </c>
      <c r="E802" s="19">
        <v>143371.5</v>
      </c>
      <c r="F802" s="19">
        <v>183171</v>
      </c>
      <c r="G802" s="19">
        <v>236273.4</v>
      </c>
    </row>
    <row r="803" spans="1:8" x14ac:dyDescent="0.25">
      <c r="E803" s="19"/>
      <c r="F803" s="19"/>
      <c r="G803" s="19"/>
    </row>
    <row r="804" spans="1:8" x14ac:dyDescent="0.25">
      <c r="A804" s="72" t="s">
        <v>472</v>
      </c>
      <c r="E804" s="16">
        <f>E11+E120+E139+E267+E475+E482+E652+E693+E744+E793+E798</f>
        <v>14088919.439999999</v>
      </c>
      <c r="F804" s="16">
        <f>F11+F120+F139+F267+F475+F482+F652+F693+F744+F793+F798</f>
        <v>13951521</v>
      </c>
      <c r="G804" s="16">
        <f>G11+G120+G139+G267+G475+G482+G652+G693+G744+G793+G798</f>
        <v>12789934.899999999</v>
      </c>
    </row>
    <row r="805" spans="1:8" x14ac:dyDescent="0.25">
      <c r="E805" s="101"/>
      <c r="F805" s="101"/>
      <c r="G805" s="101" t="s">
        <v>516</v>
      </c>
    </row>
    <row r="806" spans="1:8" x14ac:dyDescent="0.25">
      <c r="F806" s="1"/>
      <c r="G806" s="1"/>
    </row>
    <row r="807" spans="1:8" x14ac:dyDescent="0.25">
      <c r="F807" s="1"/>
      <c r="G807" s="1"/>
    </row>
    <row r="808" spans="1:8" x14ac:dyDescent="0.25">
      <c r="F808" s="1"/>
      <c r="G808" s="1"/>
      <c r="H808" s="73"/>
    </row>
    <row r="809" spans="1:8" x14ac:dyDescent="0.25">
      <c r="F809" s="1"/>
      <c r="G809" s="1"/>
    </row>
    <row r="810" spans="1:8" x14ac:dyDescent="0.25">
      <c r="F810" s="1"/>
      <c r="G810" s="1"/>
    </row>
    <row r="811" spans="1:8" x14ac:dyDescent="0.25">
      <c r="F811" s="1"/>
      <c r="G811" s="1"/>
    </row>
    <row r="812" spans="1:8" x14ac:dyDescent="0.25">
      <c r="F812" s="1"/>
      <c r="G812" s="1"/>
    </row>
    <row r="813" spans="1:8" x14ac:dyDescent="0.25">
      <c r="F813" s="1"/>
      <c r="G813" s="1"/>
    </row>
    <row r="814" spans="1:8" x14ac:dyDescent="0.25">
      <c r="F814" s="1"/>
      <c r="G814" s="1"/>
    </row>
    <row r="815" spans="1:8" x14ac:dyDescent="0.25">
      <c r="F815" s="1"/>
      <c r="G815" s="1"/>
    </row>
    <row r="816" spans="1:8" x14ac:dyDescent="0.25">
      <c r="F816" s="1"/>
      <c r="G816" s="1"/>
    </row>
    <row r="817" spans="6:7" x14ac:dyDescent="0.25">
      <c r="F817" s="1"/>
      <c r="G817" s="1"/>
    </row>
    <row r="818" spans="6:7" x14ac:dyDescent="0.25">
      <c r="F818" s="1"/>
      <c r="G818" s="1"/>
    </row>
    <row r="819" spans="6:7" x14ac:dyDescent="0.25">
      <c r="F819" s="1"/>
      <c r="G819" s="1"/>
    </row>
    <row r="820" spans="6:7" x14ac:dyDescent="0.25">
      <c r="F820" s="1"/>
      <c r="G820" s="1"/>
    </row>
    <row r="821" spans="6:7" x14ac:dyDescent="0.25">
      <c r="F821" s="1"/>
      <c r="G821" s="1"/>
    </row>
    <row r="822" spans="6:7" x14ac:dyDescent="0.25">
      <c r="F822" s="1"/>
      <c r="G822" s="1"/>
    </row>
    <row r="823" spans="6:7" x14ac:dyDescent="0.25">
      <c r="F823" s="1"/>
      <c r="G823" s="1"/>
    </row>
    <row r="824" spans="6:7" x14ac:dyDescent="0.25">
      <c r="F824" s="1"/>
      <c r="G824" s="1"/>
    </row>
  </sheetData>
  <customSheetViews>
    <customSheetView guid="{61C84D61-2D1A-4C38-8F3E-B87673D547A5}" showPageBreaks="1" topLeftCell="A676">
      <selection activeCell="D532" sqref="D532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1"/>
    </customSheetView>
    <customSheetView guid="{FD876D40-493A-470C-A137-1F7C6C6DA01D}" topLeftCell="A10">
      <pane xSplit="2" ySplit="2" topLeftCell="C72" activePane="bottomRight" state="frozen"/>
      <selection pane="bottomRight" activeCell="E78" sqref="E78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2"/>
    </customSheetView>
    <customSheetView guid="{23A5EAB7-7745-45A3-8BB4-D6186958C7BF}" scale="70" topLeftCell="A276">
      <selection activeCell="D280" sqref="D280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3"/>
    </customSheetView>
    <customSheetView guid="{1CA6CCC9-64EF-4CA9-9C9C-1E572976D134}" scale="80" showPageBreaks="1" showAutoFilter="1" topLeftCell="A354">
      <selection activeCell="I385" sqref="I385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4"/>
      <headerFooter>
        <oddFooter>&amp;R&amp;P</oddFooter>
      </headerFooter>
      <autoFilter ref="A7:G689" xr:uid="{518A3D88-3317-487F-98D7-3F47C9FC1641}"/>
    </customSheetView>
    <customSheetView guid="{2A135292-D5EB-4A8D-A93E-D0B24F2543E0}" scale="80" showPageBreaks="1">
      <selection activeCell="K11" sqref="K11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5"/>
    </customSheetView>
    <customSheetView guid="{AA62EF5A-85DE-4BC8-95D5-4F54CE8CF3D6}" scale="77" showPageBreaks="1">
      <selection activeCell="E756" sqref="E756"/>
      <pageMargins left="0.70866141732283472" right="0.11811023622047245" top="0.55118110236220474" bottom="0.35433070866141736" header="0.31496062992125984" footer="0.31496062992125984"/>
      <pageSetup paperSize="9" scale="75" fitToHeight="99" orientation="portrait" r:id="rId6"/>
    </customSheetView>
  </customSheetViews>
  <mergeCells count="8">
    <mergeCell ref="F1:G1"/>
    <mergeCell ref="A9:A10"/>
    <mergeCell ref="B9:B10"/>
    <mergeCell ref="F9:G9"/>
    <mergeCell ref="F3:G3"/>
    <mergeCell ref="C9:C10"/>
    <mergeCell ref="D9:D10"/>
    <mergeCell ref="A6:G6"/>
  </mergeCells>
  <phoneticPr fontId="4" type="noConversion"/>
  <pageMargins left="0.70866141732283472" right="0.11811023622047245" top="0.55118110236220474" bottom="0.35433070866141736" header="0.31496062992125984" footer="0.31496062992125984"/>
  <pageSetup paperSize="9" scale="74" fitToHeight="0" orientation="portrait"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Наталья Геращенко</cp:lastModifiedBy>
  <cp:lastPrinted>2025-05-16T08:08:57Z</cp:lastPrinted>
  <dcterms:created xsi:type="dcterms:W3CDTF">2021-10-13T06:13:14Z</dcterms:created>
  <dcterms:modified xsi:type="dcterms:W3CDTF">2025-05-29T01:58:23Z</dcterms:modified>
</cp:coreProperties>
</file>